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INFORME DE EJECUCION CONSEJO DIRECTIVO\"/>
    </mc:Choice>
  </mc:AlternateContent>
  <xr:revisionPtr revIDLastSave="0" documentId="13_ncr:1_{622BC3D0-E313-4C80-AFA6-23CD333B1A60}" xr6:coauthVersionLast="36" xr6:coauthVersionMax="36" xr10:uidLastSave="{00000000-0000-0000-0000-000000000000}"/>
  <bookViews>
    <workbookView xWindow="0" yWindow="0" windowWidth="28800" windowHeight="12105" tabRatio="945" firstSheet="6" activeTab="10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6" l="1"/>
  <c r="B17" i="5" l="1"/>
  <c r="B17" i="6" l="1"/>
  <c r="G7" i="1" l="1"/>
  <c r="H7" i="1"/>
  <c r="D13" i="10" l="1"/>
  <c r="I5" i="11" l="1"/>
  <c r="H5" i="11"/>
  <c r="F5" i="11" l="1"/>
  <c r="G5" i="11" l="1"/>
  <c r="K5" i="11" s="1"/>
  <c r="D5" i="11"/>
  <c r="B18" i="10"/>
  <c r="D4" i="9"/>
  <c r="F4" i="9" l="1"/>
  <c r="I8" i="11" l="1"/>
  <c r="B16" i="6" l="1"/>
  <c r="F7" i="1" l="1"/>
  <c r="B15" i="5" l="1"/>
  <c r="F7" i="4" l="1"/>
  <c r="F6" i="4"/>
  <c r="F5" i="4"/>
  <c r="E5" i="1" l="1"/>
  <c r="C4" i="16" l="1"/>
  <c r="B7" i="5" l="1"/>
  <c r="B7" i="1" l="1"/>
  <c r="C7" i="1"/>
  <c r="D8" i="15" s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8" i="15" s="1"/>
  <c r="F8" i="15" s="1"/>
  <c r="D10" i="15"/>
  <c r="F9" i="15"/>
  <c r="F7" i="15"/>
  <c r="E10" i="15" l="1"/>
  <c r="K7" i="4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<sst xmlns="http://schemas.openxmlformats.org/spreadsheetml/2006/main" count="283" uniqueCount="131">
  <si>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</si>
  <si>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</si>
  <si>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</si>
  <si>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</si>
  <si>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</si>
  <si>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</si>
  <si>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</si>
  <si>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</si>
  <si>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</si>
  <si>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</si>
  <si>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</si>
  <si>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</si>
  <si>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</si>
  <si>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</si>
  <si>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</si>
  <si>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</si>
  <si>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</si>
  <si>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</si>
  <si>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</si>
  <si>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</si>
  <si>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</si>
  <si>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</si>
  <si>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</si>
  <si>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</si>
  <si>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</si>
  <si>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</si>
  <si>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</si>
  <si>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</si>
  <si>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</si>
  <si>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</si>
  <si>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</si>
  <si>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</si>
  <si>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</si>
  <si>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</si>
  <si>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</si>
  <si>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</si>
  <si>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</si>
  <si>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</si>
  <si>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</si>
  <si>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</si>
  <si>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</si>
  <si>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</si>
  <si>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</si>
  <si>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</si>
  <si>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</si>
  <si>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</si>
  <si>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</si>
  <si>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</si>
  <si>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</si>
  <si>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</si>
  <si>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</si>
  <si>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</si>
  <si>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</si>
  <si>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</si>
  <si>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</si>
  <si>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</si>
  <si>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</si>
  <si>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</si>
  <si>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</si>
  <si>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</si>
  <si>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</si>
  <si>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</si>
  <si>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</si>
  <si>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</si>
  <si>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</si>
  <si>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</si>
  <si>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</si>
  <si>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</si>
  <si>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</si>
  <si>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</si>
  <si>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</si>
  <si>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</si>
  <si>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</si>
  <si>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</si>
  <si>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</si>
  <si>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</si>
  <si>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</si>
  <si>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</si>
  <si>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</si>
  <si>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</si>
  <si>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</si>
  <si>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</si>
  <si>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</si>
  <si>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</si>
  <si>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</si>
  <si>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</si>
  <si>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</si>
  <si>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</si>
  <si>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</si>
  <si>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</si>
  <si>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</si>
  <si>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</si>
  <si>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</si>
  <si>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</si>
  <si>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</si>
  <si>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</si>
  <si>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</si>
  <si>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</si>
  <si>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</si>
  <si>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</si>
  <si>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</si>
  <si>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</si>
  <si>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</si>
  <si>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</si>
  <si>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</si>
  <si>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</si>
  <si>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</si>
  <si>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</si>
  <si>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</si>
  <si>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</si>
  <si>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</si>
  <si>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</si>
  <si>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</si>
  <si>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</si>
  <si>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</si>
  <si>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</si>
  <si>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</si>
  <si>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</si>
  <si>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</si>
  <si>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</si>
  <si>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</si>
  <si>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</si>
  <si>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</si>
  <si>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</si>
  <si>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</si>
  <si>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</si>
  <si>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DICIEMBRE 31 DE 2025</t>
  </si>
  <si>
    <t>EJECUCIÓN PRESUPUESTAL 
GASTOS DE PERSONAL 
CON CORTE DICIEMBRE 31 DE 2025</t>
  </si>
  <si>
    <t>EJECUCIÓN PRESUPUESTAL
ADQUISICIÓN BIENES Y SERVICIOS
CON CORTE DICIEMBRE 31 DE 2025</t>
  </si>
  <si>
    <t>Ejecución Presupuestal - Proyectos de Inversión
CON CORTE DICIEMBRE 31 DE 2025</t>
  </si>
  <si>
    <t>EJECUCIÓN PRESUPUESTAL 
PROYECTOS DE INVERSIÓN
CON CORTE DICIEMBRE 31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</si>
</sst>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9.4994952274957731E-2</c:v>
                </c:pt>
                <c:pt idx="1">
                  <c:v>0.90500504772504231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8.3333333282174585E-2</c:v>
                </c:pt>
                <c:pt idx="1">
                  <c:v>0.16666666656434917</c:v>
                </c:pt>
                <c:pt idx="2">
                  <c:v>0.24999999984652374</c:v>
                </c:pt>
                <c:pt idx="3">
                  <c:v>0.33333333312869834</c:v>
                </c:pt>
                <c:pt idx="4">
                  <c:v>0.41666666641087291</c:v>
                </c:pt>
                <c:pt idx="5">
                  <c:v>0.49999999969304748</c:v>
                </c:pt>
                <c:pt idx="6">
                  <c:v>0.58333333297522205</c:v>
                </c:pt>
                <c:pt idx="7">
                  <c:v>0.66666666625739668</c:v>
                </c:pt>
                <c:pt idx="8">
                  <c:v>0.74999999953957119</c:v>
                </c:pt>
                <c:pt idx="9">
                  <c:v>0.83333333282174582</c:v>
                </c:pt>
                <c:pt idx="10">
                  <c:v>0.91666666610392034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1.5413270894672308E-3</c:v>
                </c:pt>
                <c:pt idx="1">
                  <c:v>2.1950869891277751E-2</c:v>
                </c:pt>
                <c:pt idx="2">
                  <c:v>5.4976694362826845E-2</c:v>
                </c:pt>
                <c:pt idx="3">
                  <c:v>9.1444592314319256E-2</c:v>
                </c:pt>
                <c:pt idx="4">
                  <c:v>0.12865849518907513</c:v>
                </c:pt>
                <c:pt idx="5">
                  <c:v>0.15368547216665854</c:v>
                </c:pt>
                <c:pt idx="6">
                  <c:v>0.20231462434821787</c:v>
                </c:pt>
                <c:pt idx="7">
                  <c:v>0.25022074352388335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407229104</c:v>
                </c:pt>
                <c:pt idx="1">
                  <c:v>814458208</c:v>
                </c:pt>
                <c:pt idx="2">
                  <c:v>1221687312</c:v>
                </c:pt>
                <c:pt idx="3">
                  <c:v>1628916416</c:v>
                </c:pt>
                <c:pt idx="4">
                  <c:v>2036145520</c:v>
                </c:pt>
                <c:pt idx="5">
                  <c:v>2443374624</c:v>
                </c:pt>
                <c:pt idx="6">
                  <c:v>2850603728</c:v>
                </c:pt>
                <c:pt idx="7">
                  <c:v>3257832832</c:v>
                </c:pt>
                <c:pt idx="8">
                  <c:v>3665061936</c:v>
                </c:pt>
                <c:pt idx="9">
                  <c:v>4072291040</c:v>
                </c:pt>
                <c:pt idx="10">
                  <c:v>4479520144</c:v>
                </c:pt>
                <c:pt idx="11">
                  <c:v>4886749251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751022366</c:v>
                </c:pt>
                <c:pt idx="6">
                  <c:v>988660839</c:v>
                </c:pt>
                <c:pt idx="7">
                  <c:v>1222766031</c:v>
                </c:pt>
                <c:pt idx="8">
                  <c:v>1600626290</c:v>
                </c:pt>
                <c:pt idx="9">
                  <c:v>1976691941</c:v>
                </c:pt>
                <c:pt idx="10">
                  <c:v>2547672934</c:v>
                </c:pt>
                <c:pt idx="11">
                  <c:v>4060773454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DICIEMBRE 31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4437298901</c:v>
                </c:pt>
                <c:pt idx="3" formatCode="0.00%">
                  <c:v>0.53998279737509214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DICIEMBRE 31 DE 2025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0.19066727495243502</c:v>
                </c:pt>
                <c:pt idx="6">
                  <c:v>0.27631143269503411</c:v>
                </c:pt>
                <c:pt idx="7">
                  <c:v>0.34095017324886812</c:v>
                </c:pt>
                <c:pt idx="8">
                  <c:v>0.43353768410319221</c:v>
                </c:pt>
                <c:pt idx="9">
                  <c:v>0.48931611181731821</c:v>
                </c:pt>
                <c:pt idx="10">
                  <c:v>0.49128752082814581</c:v>
                </c:pt>
                <c:pt idx="11">
                  <c:v>0.53998279737509214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7655492052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4437298901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4437298901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0.93161044720024011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0.53998279737509214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0.53998279737509214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1415179049</c:v>
                </c:pt>
                <c:pt idx="1">
                  <c:v>12318016453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8.3415924445525161E-2</c:v>
                </c:pt>
                <c:pt idx="1">
                  <c:v>0.72606977222299429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1415179049</c:v>
                </c:pt>
                <c:pt idx="1">
                  <c:v>0</c:v>
                </c:pt>
                <c:pt idx="2">
                  <c:v>0</c:v>
                </c:pt>
                <c:pt idx="3">
                  <c:v>1415179049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1.7258281085365854</c:v>
                </c:pt>
                <c:pt idx="1">
                  <c:v>0</c:v>
                </c:pt>
                <c:pt idx="2">
                  <c:v>0</c:v>
                </c:pt>
                <c:pt idx="3" formatCode="0.00%">
                  <c:v>0.81624718545056985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1415179049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1.7258281085365854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5147415027</c:v>
                </c:pt>
                <c:pt idx="2">
                  <c:v>3861644337</c:v>
                </c:pt>
                <c:pt idx="3">
                  <c:v>10033623079</c:v>
                </c:pt>
                <c:pt idx="4">
                  <c:v>9662236648</c:v>
                </c:pt>
                <c:pt idx="5">
                  <c:v>8848408403</c:v>
                </c:pt>
                <c:pt idx="6">
                  <c:v>8848408403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7655492052</c:v>
                </c:pt>
                <c:pt idx="5">
                  <c:v>4437298901</c:v>
                </c:pt>
                <c:pt idx="6">
                  <c:v>4437298901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1461735985</c:v>
                </c:pt>
                <c:pt idx="2">
                  <c:v>365314807</c:v>
                </c:pt>
                <c:pt idx="3">
                  <c:v>4944298563</c:v>
                </c:pt>
                <c:pt idx="4">
                  <c:v>4625459882</c:v>
                </c:pt>
                <c:pt idx="5">
                  <c:v>4625459882</c:v>
                </c:pt>
                <c:pt idx="6">
                  <c:v>4625459882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3632198741</c:v>
                </c:pt>
                <c:pt idx="2">
                  <c:v>11608126</c:v>
                </c:pt>
                <c:pt idx="3">
                  <c:v>4886749251</c:v>
                </c:pt>
                <c:pt idx="4">
                  <c:v>4844414501</c:v>
                </c:pt>
                <c:pt idx="5">
                  <c:v>4060773454</c:v>
                </c:pt>
                <c:pt idx="6">
                  <c:v>4060773454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53480301</c:v>
                </c:pt>
                <c:pt idx="2">
                  <c:v>3484721404</c:v>
                </c:pt>
                <c:pt idx="3">
                  <c:v>202575265</c:v>
                </c:pt>
                <c:pt idx="4">
                  <c:v>192362265</c:v>
                </c:pt>
                <c:pt idx="5">
                  <c:v>162175067</c:v>
                </c:pt>
                <c:pt idx="6">
                  <c:v>162175067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7655492052</c:v>
                </c:pt>
                <c:pt idx="5">
                  <c:v>4437298901</c:v>
                </c:pt>
                <c:pt idx="6">
                  <c:v>4437298901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DE 2025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8.3333333232206749E-2</c:v>
                </c:pt>
                <c:pt idx="1">
                  <c:v>0.1666666664644135</c:v>
                </c:pt>
                <c:pt idx="2">
                  <c:v>0.24999999969662026</c:v>
                </c:pt>
                <c:pt idx="3">
                  <c:v>0.333333332928827</c:v>
                </c:pt>
                <c:pt idx="4">
                  <c:v>0.41666666616103376</c:v>
                </c:pt>
                <c:pt idx="5">
                  <c:v>0.49999999939324052</c:v>
                </c:pt>
                <c:pt idx="6">
                  <c:v>0.58333333262544729</c:v>
                </c:pt>
                <c:pt idx="7">
                  <c:v>0.66666666585765399</c:v>
                </c:pt>
                <c:pt idx="8">
                  <c:v>0.74999999908986081</c:v>
                </c:pt>
                <c:pt idx="9">
                  <c:v>0.83333333232206752</c:v>
                </c:pt>
                <c:pt idx="10">
                  <c:v>0.91666666555427434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3.6117529638682422E-2</c:v>
                </c:pt>
                <c:pt idx="1">
                  <c:v>9.536593648337538E-2</c:v>
                </c:pt>
                <c:pt idx="2">
                  <c:v>0.16410968354130739</c:v>
                </c:pt>
                <c:pt idx="3">
                  <c:v>0.23072531073359132</c:v>
                </c:pt>
                <c:pt idx="4">
                  <c:v>0.31597350749469283</c:v>
                </c:pt>
                <c:pt idx="5">
                  <c:v>0.3665402824704741</c:v>
                </c:pt>
                <c:pt idx="6">
                  <c:v>0.48131917929973972</c:v>
                </c:pt>
                <c:pt idx="7">
                  <c:v>0.53124834613800298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412024880</c:v>
                </c:pt>
                <c:pt idx="1">
                  <c:v>824049760</c:v>
                </c:pt>
                <c:pt idx="2">
                  <c:v>1236074640</c:v>
                </c:pt>
                <c:pt idx="3">
                  <c:v>1648099520</c:v>
                </c:pt>
                <c:pt idx="4">
                  <c:v>2060124400</c:v>
                </c:pt>
                <c:pt idx="5">
                  <c:v>2472149280</c:v>
                </c:pt>
                <c:pt idx="6">
                  <c:v>2884174160</c:v>
                </c:pt>
                <c:pt idx="7">
                  <c:v>3296199040</c:v>
                </c:pt>
                <c:pt idx="8">
                  <c:v>3708223920</c:v>
                </c:pt>
                <c:pt idx="9">
                  <c:v>4120248800</c:v>
                </c:pt>
                <c:pt idx="10">
                  <c:v>4532273680</c:v>
                </c:pt>
                <c:pt idx="11">
                  <c:v>4944298566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1812284593</c:v>
                </c:pt>
                <c:pt idx="6">
                  <c:v>2379785728</c:v>
                </c:pt>
                <c:pt idx="7">
                  <c:v>2626650436</c:v>
                </c:pt>
                <c:pt idx="8">
                  <c:v>2982632593</c:v>
                </c:pt>
                <c:pt idx="9">
                  <c:v>3375817355</c:v>
                </c:pt>
                <c:pt idx="10">
                  <c:v>3866105561</c:v>
                </c:pt>
                <c:pt idx="11">
                  <c:v>4625459882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4" t="s">
        <v>101</v>
      </c>
      <c r="C3" s="255"/>
      <c r="D3" s="255"/>
      <c r="E3" s="255"/>
      <c r="F3" s="255"/>
      <c r="G3" s="255"/>
      <c r="H3" s="255"/>
      <c r="I3" s="256"/>
    </row>
    <row r="4" spans="2:14" ht="13.5" customHeight="1" thickBot="1" x14ac:dyDescent="0.25">
      <c r="B4" s="251" t="s">
        <v>126</v>
      </c>
      <c r="C4" s="252"/>
      <c r="D4" s="252"/>
      <c r="E4" s="252"/>
      <c r="F4" s="252"/>
      <c r="G4" s="252"/>
      <c r="H4" s="252"/>
      <c r="I4" s="253"/>
      <c r="J4" s="250">
        <v>11597</v>
      </c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9.4994952274957731E-2</v>
      </c>
      <c r="H7" s="234">
        <v>1415179049</v>
      </c>
      <c r="I7" s="177">
        <f>H7/F10</f>
        <v>7.7539362426445449E-2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f>'EJE DE FUNCIONAMIENTO E INVERSI'!C7</f>
        <v>5147415027</v>
      </c>
      <c r="E8" s="223">
        <f>'EJE DE FUNCIONAMIENTO E INVERSI'!D7</f>
        <v>3861644337</v>
      </c>
      <c r="F8" s="142">
        <f>C8+D8-E8</f>
        <v>16517342195</v>
      </c>
      <c r="G8" s="31">
        <f>F8/F10</f>
        <v>0.90500504772504231</v>
      </c>
      <c r="H8" s="189">
        <v>12318016453</v>
      </c>
      <c r="I8" s="179">
        <f>H8/F10</f>
        <v>0.67491893891377486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5147415027</v>
      </c>
      <c r="E10" s="225">
        <f>SUM(E7:E9)</f>
        <v>3861644337</v>
      </c>
      <c r="F10" s="201">
        <f>+F7+F8+F9</f>
        <v>18251105048</v>
      </c>
      <c r="G10" s="149">
        <f>SUM(G7:G9)</f>
        <v>1</v>
      </c>
      <c r="H10" s="148">
        <f>SUM(H7:H9)</f>
        <v>13733195502</v>
      </c>
      <c r="I10" s="178">
        <f>SUM(I7:I9)</f>
        <v>0.75245830134022029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1415179049</v>
      </c>
      <c r="D33" s="203"/>
      <c r="E33" s="203"/>
      <c r="F33" s="203"/>
      <c r="G33" s="177">
        <f>C33/C10</f>
        <v>8.3415924445525161E-2</v>
      </c>
    </row>
    <row r="34" spans="2:15" ht="13.5" thickBot="1" x14ac:dyDescent="0.25">
      <c r="B34" s="137" t="s">
        <v>93</v>
      </c>
      <c r="C34" s="142">
        <f>+H8</f>
        <v>12318016453</v>
      </c>
      <c r="D34" s="203"/>
      <c r="E34" s="203"/>
      <c r="F34" s="203"/>
      <c r="G34" s="179">
        <f>C34/C10</f>
        <v>0.72606977222299429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13733195502</v>
      </c>
      <c r="D36" s="205"/>
      <c r="E36" s="205"/>
      <c r="F36" s="205"/>
      <c r="G36" s="206">
        <f>SUM(G33:G35)</f>
        <v>0.80948569666851944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tabSelected="1" topLeftCell="B1" workbookViewId="0">
      <selection activeCell="E4" sqref="E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0" t="s">
        <v>129</v>
      </c>
      <c r="C2" s="281"/>
      <c r="D2" s="281"/>
      <c r="E2" s="281"/>
      <c r="F2" s="28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4437298901</v>
      </c>
      <c r="F4" s="186">
        <f>E4/D4</f>
        <v>0.53998279737509214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9" sqref="C1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7" t="s">
        <v>130</v>
      </c>
      <c r="B5" s="278"/>
      <c r="C5" s="278"/>
      <c r="D5" s="278"/>
      <c r="E5" s="27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1566804894</v>
      </c>
      <c r="D12" s="48">
        <f t="shared" si="0"/>
        <v>0.49999999993915412</v>
      </c>
      <c r="E12" s="187">
        <f t="shared" si="0"/>
        <v>0.19066727495243502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2270584216</v>
      </c>
      <c r="D13" s="48">
        <f>+B13/$B$18</f>
        <v>0.58333333326234649</v>
      </c>
      <c r="E13" s="187">
        <f t="shared" si="0"/>
        <v>0.27631143269503411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2801751901</v>
      </c>
      <c r="D14" s="48">
        <f t="shared" si="0"/>
        <v>0.66666666658553886</v>
      </c>
      <c r="E14" s="187">
        <f t="shared" si="0"/>
        <v>0.34095017324886812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3562588102</v>
      </c>
      <c r="D15" s="48">
        <f>+B15/$B$18</f>
        <v>0.74999999990873112</v>
      </c>
      <c r="E15" s="187">
        <f t="shared" si="0"/>
        <v>0.43353768410319221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4020946326</v>
      </c>
      <c r="D16" s="48">
        <f>+B16/$B$18</f>
        <v>0.83333333323192349</v>
      </c>
      <c r="E16" s="187">
        <f>+C16/$B$18</f>
        <v>0.48931611181731821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4037146344</v>
      </c>
      <c r="D17" s="48">
        <f>+B17/$B$18</f>
        <v>0.91666666655511586</v>
      </c>
      <c r="E17" s="187">
        <f t="shared" si="0"/>
        <v>0.49128752082814581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4437298901</v>
      </c>
      <c r="D18" s="56">
        <f>+B18/$B$18</f>
        <v>1</v>
      </c>
      <c r="E18" s="220">
        <f t="shared" si="0"/>
        <v>0.53998279737509214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G5" sqref="G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3" t="s">
        <v>42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2:13" ht="26.25" customHeight="1" thickBot="1" x14ac:dyDescent="0.25">
      <c r="B3" s="249"/>
      <c r="C3" s="284" t="s">
        <v>126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7655492052</v>
      </c>
      <c r="H5" s="40">
        <f>'EJE DE FUNCIONAMIENTO E INVERSI'!G6</f>
        <v>4437298901</v>
      </c>
      <c r="I5" s="40">
        <f>'EJE DE FUNCIONAMIENTO E INVERSI'!H6</f>
        <v>4437298901</v>
      </c>
      <c r="J5" s="156">
        <v>1</v>
      </c>
      <c r="K5" s="156">
        <f>G5/F5</f>
        <v>0.93161044720024011</v>
      </c>
      <c r="L5" s="157">
        <f>H5/F5</f>
        <v>0.53998279737509214</v>
      </c>
      <c r="M5" s="157">
        <f>I5/F5</f>
        <v>0.53998279737509214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7655492052</v>
      </c>
      <c r="H8" s="175">
        <f>+SUM(H5:H7)</f>
        <v>4437298901</v>
      </c>
      <c r="I8" s="175">
        <f>+SUM(I5:I7)</f>
        <v>4437298901</v>
      </c>
      <c r="J8" s="158">
        <v>1</v>
      </c>
      <c r="K8" s="156">
        <f>G8/F8</f>
        <v>0.93161044720024011</v>
      </c>
      <c r="L8" s="157">
        <f>H8/F8</f>
        <v>0.53998279737509214</v>
      </c>
      <c r="M8" s="157">
        <f>I8/F8</f>
        <v>0.53998279737509214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6" t="s">
        <v>60</v>
      </c>
      <c r="B16" s="287"/>
      <c r="C16" s="287"/>
      <c r="D16" s="287"/>
      <c r="E16" s="287"/>
      <c r="F16" s="288"/>
    </row>
    <row r="17" spans="1:6" ht="25.5" customHeight="1" thickBot="1" x14ac:dyDescent="0.25">
      <c r="A17" s="289"/>
      <c r="B17" s="290"/>
      <c r="C17" s="290"/>
      <c r="D17" s="290"/>
      <c r="E17" s="290"/>
      <c r="F17" s="29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2" t="str">
        <f>+A16</f>
        <v>EJECUCIÓN PRESUPUESTAL
RESERVAS PRESUPUESTALES
A AGOSTO 31 DE 2015</v>
      </c>
      <c r="B31" s="293"/>
      <c r="C31" s="293"/>
      <c r="D31" s="293"/>
      <c r="E31" s="29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7" t="s">
        <v>88</v>
      </c>
      <c r="B2" s="258"/>
      <c r="C2" s="258"/>
      <c r="D2" s="258"/>
      <c r="E2" s="258"/>
      <c r="F2" s="258"/>
      <c r="G2" s="259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5" t="s">
        <v>65</v>
      </c>
      <c r="B19" s="296"/>
      <c r="C19" s="29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0" t="s">
        <v>65</v>
      </c>
      <c r="B28" s="298"/>
      <c r="C28" s="298"/>
      <c r="D28" s="261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7" t="s">
        <v>124</v>
      </c>
      <c r="B2" s="258"/>
      <c r="C2" s="258"/>
      <c r="D2" s="259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1415179049</v>
      </c>
      <c r="D4" s="160">
        <f>C4/B4</f>
        <v>1.7258281085365854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1415179049</v>
      </c>
      <c r="D7" s="184">
        <f>C7/B7</f>
        <v>0.81624718545056985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0" t="s">
        <v>108</v>
      </c>
      <c r="B10" s="261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1415179049</v>
      </c>
      <c r="C13" s="173"/>
    </row>
    <row r="14" spans="1:6" ht="13.5" thickBot="1" x14ac:dyDescent="0.25">
      <c r="A14" s="102" t="s">
        <v>71</v>
      </c>
      <c r="B14" s="185">
        <f>+B13/B12</f>
        <v>0.81624718545056985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E1" workbookViewId="0">
      <selection activeCell="F8" sqref="F8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2" t="s">
        <v>104</v>
      </c>
      <c r="B2" s="263"/>
      <c r="C2" s="263"/>
      <c r="D2" s="263"/>
      <c r="E2" s="263"/>
      <c r="F2" s="263"/>
      <c r="G2" s="263"/>
      <c r="H2" s="264"/>
      <c r="I2" s="14"/>
      <c r="J2" s="265" t="s">
        <v>102</v>
      </c>
      <c r="K2" s="265"/>
      <c r="L2" s="265"/>
    </row>
    <row r="3" spans="1:16" ht="13.5" customHeight="1" thickBot="1" x14ac:dyDescent="0.25">
      <c r="A3" s="251" t="s">
        <v>126</v>
      </c>
      <c r="B3" s="252"/>
      <c r="C3" s="252"/>
      <c r="D3" s="252"/>
      <c r="E3" s="252"/>
      <c r="F3" s="252"/>
      <c r="G3" s="252"/>
      <c r="H3" s="253"/>
      <c r="I3" s="14"/>
      <c r="J3" s="266"/>
      <c r="K3" s="266"/>
      <c r="L3" s="266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5147415027</v>
      </c>
      <c r="D5" s="5">
        <v>3861644337</v>
      </c>
      <c r="E5" s="231">
        <f>B5+C5-D5</f>
        <v>10033623079</v>
      </c>
      <c r="F5" s="5">
        <v>9662236648</v>
      </c>
      <c r="G5" s="5">
        <v>8848408403</v>
      </c>
      <c r="H5" s="5">
        <v>8848408403</v>
      </c>
      <c r="J5" s="209">
        <f>F5/E5</f>
        <v>0.96298581000343753</v>
      </c>
      <c r="K5" s="210">
        <f>G5/E5</f>
        <v>0.88187570265813453</v>
      </c>
      <c r="L5" s="211">
        <f>H5/E5</f>
        <v>0.88187570265813453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7655492052</v>
      </c>
      <c r="G6" s="228">
        <v>4437298901</v>
      </c>
      <c r="H6" s="7">
        <v>4437298901</v>
      </c>
      <c r="J6" s="209">
        <f>F6/E6</f>
        <v>0.93161044720024011</v>
      </c>
      <c r="K6" s="210">
        <f>G6/E6</f>
        <v>0.53998279737509214</v>
      </c>
      <c r="L6" s="211">
        <f>H6/E6</f>
        <v>0.53998279737509214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5147415027</v>
      </c>
      <c r="D7" s="226">
        <f>D5+D6</f>
        <v>3861644337</v>
      </c>
      <c r="E7" s="245">
        <f>SUM(E5:E6)</f>
        <v>18251105048</v>
      </c>
      <c r="F7" s="199">
        <f>+SUM(F5:F6)</f>
        <v>17317728700</v>
      </c>
      <c r="G7" s="199">
        <f t="shared" ref="G7:H7" si="0">+SUM(G5:G6)</f>
        <v>13285707304</v>
      </c>
      <c r="H7" s="199">
        <f t="shared" si="0"/>
        <v>13285707304</v>
      </c>
      <c r="J7" s="181">
        <f>F7/E7</f>
        <v>0.94885918712619088</v>
      </c>
      <c r="K7" s="182">
        <f>G7/B7</f>
        <v>0.7831090754621719</v>
      </c>
      <c r="L7" s="183">
        <f>H7/E7</f>
        <v>0.72793988468418136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7"/>
      <c r="Q17" s="268"/>
      <c r="R17" s="269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4" zoomScale="93" zoomScaleNormal="93" workbookViewId="0">
      <selection activeCell="G5" sqref="G5:G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0" t="s">
        <v>103</v>
      </c>
      <c r="C2" s="270"/>
      <c r="D2" s="270"/>
      <c r="E2" s="270"/>
      <c r="F2" s="270"/>
      <c r="G2" s="270"/>
      <c r="H2" s="270"/>
      <c r="I2" s="270"/>
      <c r="J2" s="14"/>
      <c r="K2" s="14"/>
      <c r="L2" s="14"/>
    </row>
    <row r="3" spans="2:23" ht="24.75" customHeight="1" thickBot="1" x14ac:dyDescent="0.25">
      <c r="B3" s="251" t="s">
        <v>126</v>
      </c>
      <c r="C3" s="252"/>
      <c r="D3" s="252"/>
      <c r="E3" s="252"/>
      <c r="F3" s="252"/>
      <c r="G3" s="252"/>
      <c r="H3" s="252"/>
      <c r="I3" s="253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1461735985</v>
      </c>
      <c r="E5" s="5">
        <v>365314807</v>
      </c>
      <c r="F5" s="230">
        <f>C5+D5-E5</f>
        <v>4944298563</v>
      </c>
      <c r="G5" s="5">
        <v>4625459882</v>
      </c>
      <c r="H5" s="5">
        <v>4625459882</v>
      </c>
      <c r="I5" s="5">
        <v>4625459882</v>
      </c>
      <c r="J5" s="14"/>
      <c r="K5" s="209">
        <f>G5/F5</f>
        <v>0.93551386977599071</v>
      </c>
      <c r="L5" s="209">
        <f>H5/F5</f>
        <v>0.93551386977599071</v>
      </c>
      <c r="M5" s="209">
        <f>I5/F5</f>
        <v>0.93551386977599071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3632198741</v>
      </c>
      <c r="E6" s="5">
        <v>11608126</v>
      </c>
      <c r="F6" s="230">
        <f>C6+D6-E6</f>
        <v>4886749251</v>
      </c>
      <c r="G6" s="5">
        <v>4844414501</v>
      </c>
      <c r="H6" s="5">
        <v>4060773454</v>
      </c>
      <c r="I6" s="5">
        <v>4060773454</v>
      </c>
      <c r="J6" s="14"/>
      <c r="K6" s="209">
        <f>G6/F6</f>
        <v>0.99133682785313026</v>
      </c>
      <c r="L6" s="209">
        <f>H6/F6</f>
        <v>0.83097643145267241</v>
      </c>
      <c r="M6" s="209">
        <f>I6/F6</f>
        <v>0.83097643145267241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53480301</v>
      </c>
      <c r="E7" s="5">
        <v>3484721404</v>
      </c>
      <c r="F7" s="230">
        <f>C7+D7-E7</f>
        <v>202575265</v>
      </c>
      <c r="G7" s="5">
        <v>192362265</v>
      </c>
      <c r="H7" s="5">
        <v>162175067</v>
      </c>
      <c r="I7" s="5">
        <v>162175067</v>
      </c>
      <c r="J7" s="14"/>
      <c r="K7" s="209">
        <f>G7/F7</f>
        <v>0.94958417060444178</v>
      </c>
      <c r="L7" s="209">
        <f>H7/F7</f>
        <v>0.80056697445268055</v>
      </c>
      <c r="M7" s="209">
        <f>I7/F7</f>
        <v>0.80056697445268055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7655492052</v>
      </c>
      <c r="H9" s="7">
        <f>'EJE DE FUNCIONAMIENTO E INVERSI'!G6</f>
        <v>4437298901</v>
      </c>
      <c r="I9" s="7">
        <f>'EJE DE FUNCIONAMIENTO E INVERSI'!H6</f>
        <v>4437298901</v>
      </c>
      <c r="J9" s="14"/>
      <c r="K9" s="209">
        <f>G9/F9</f>
        <v>0.93161044720024011</v>
      </c>
      <c r="L9" s="209">
        <f>H9/F9</f>
        <v>0.53998279737509214</v>
      </c>
      <c r="M9" s="209">
        <f>I9/F9</f>
        <v>0.53998279737509214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5147415027</v>
      </c>
      <c r="E11" s="9">
        <f>E5+E6+E7+E8+E9</f>
        <v>3861644337</v>
      </c>
      <c r="F11" s="233">
        <f t="shared" ref="F11" si="4">+SUM(F5:F10)</f>
        <v>18251105048</v>
      </c>
      <c r="G11" s="9">
        <f>+SUM(G5:G10)</f>
        <v>17317728700</v>
      </c>
      <c r="H11" s="9">
        <f>+SUM(H5:H10)</f>
        <v>13285707304</v>
      </c>
      <c r="I11" s="9">
        <f>+SUM(I5:I10)</f>
        <v>13285707304</v>
      </c>
      <c r="J11" s="14"/>
      <c r="K11" s="181">
        <f>G11/F11</f>
        <v>0.94885918712619088</v>
      </c>
      <c r="L11" s="181">
        <f>H11/F11</f>
        <v>0.72793988468418136</v>
      </c>
      <c r="M11" s="181">
        <f>I11/F11</f>
        <v>0.72793988468418136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1"/>
      <c r="P13" s="271"/>
      <c r="Q13" s="271"/>
      <c r="R13" s="271"/>
      <c r="S13" s="271"/>
      <c r="T13" s="271"/>
      <c r="U13" s="271"/>
      <c r="V13" s="271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2" t="s">
        <v>19</v>
      </c>
      <c r="B2" s="273"/>
      <c r="C2" s="273"/>
      <c r="D2" s="273"/>
    </row>
    <row r="3" spans="1:4" ht="27" customHeight="1" x14ac:dyDescent="0.25">
      <c r="A3" s="273"/>
      <c r="B3" s="273"/>
      <c r="C3" s="273"/>
      <c r="D3" s="27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E13" workbookViewId="0">
      <selection activeCell="C20" sqref="C2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4" t="s">
        <v>127</v>
      </c>
      <c r="B4" s="275"/>
      <c r="C4" s="275"/>
      <c r="D4" s="275"/>
      <c r="E4" s="27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412024880</v>
      </c>
      <c r="C6" s="30">
        <v>178575850</v>
      </c>
      <c r="D6" s="31">
        <f>+B6/$B$17</f>
        <v>8.3333333232206749E-2</v>
      </c>
      <c r="E6" s="177">
        <f>+C6/$B$17</f>
        <v>3.6117529638682422E-2</v>
      </c>
    </row>
    <row r="7" spans="1:5" x14ac:dyDescent="0.2">
      <c r="A7" s="22" t="s">
        <v>7</v>
      </c>
      <c r="B7" s="19">
        <f>+$B$6*2</f>
        <v>824049760</v>
      </c>
      <c r="C7" s="19">
        <v>471517663</v>
      </c>
      <c r="D7" s="20">
        <f t="shared" ref="D7:D17" si="0">+B7/$B$17</f>
        <v>0.1666666664644135</v>
      </c>
      <c r="E7" s="179">
        <f t="shared" ref="E7:E17" si="1">+C7/$B$17</f>
        <v>9.536593648337538E-2</v>
      </c>
    </row>
    <row r="8" spans="1:5" x14ac:dyDescent="0.2">
      <c r="A8" s="22" t="s">
        <v>8</v>
      </c>
      <c r="B8" s="19">
        <f>+$B$6*3</f>
        <v>1236074640</v>
      </c>
      <c r="C8" s="19">
        <v>811407273</v>
      </c>
      <c r="D8" s="20">
        <f t="shared" si="0"/>
        <v>0.24999999969662026</v>
      </c>
      <c r="E8" s="179">
        <f t="shared" si="1"/>
        <v>0.16410968354130739</v>
      </c>
    </row>
    <row r="9" spans="1:5" x14ac:dyDescent="0.2">
      <c r="A9" s="22" t="s">
        <v>9</v>
      </c>
      <c r="B9" s="19">
        <f>+$B$6*4</f>
        <v>1648099520</v>
      </c>
      <c r="C9" s="19">
        <v>1140774823</v>
      </c>
      <c r="D9" s="20">
        <f t="shared" si="0"/>
        <v>0.333333332928827</v>
      </c>
      <c r="E9" s="179">
        <f t="shared" si="1"/>
        <v>0.23072531073359132</v>
      </c>
    </row>
    <row r="10" spans="1:5" x14ac:dyDescent="0.2">
      <c r="A10" s="22" t="s">
        <v>10</v>
      </c>
      <c r="B10" s="19">
        <f>+$B$6*5</f>
        <v>2060124400</v>
      </c>
      <c r="C10" s="19">
        <v>1562267360</v>
      </c>
      <c r="D10" s="20">
        <f t="shared" si="0"/>
        <v>0.41666666616103376</v>
      </c>
      <c r="E10" s="179">
        <f t="shared" si="1"/>
        <v>0.31597350749469283</v>
      </c>
    </row>
    <row r="11" spans="1:5" x14ac:dyDescent="0.2">
      <c r="A11" s="22" t="s">
        <v>11</v>
      </c>
      <c r="B11" s="19">
        <f>+$B$6*6</f>
        <v>2472149280</v>
      </c>
      <c r="C11" s="19">
        <v>1812284593</v>
      </c>
      <c r="D11" s="20">
        <f t="shared" si="0"/>
        <v>0.49999999939324052</v>
      </c>
      <c r="E11" s="179">
        <f t="shared" si="1"/>
        <v>0.3665402824704741</v>
      </c>
    </row>
    <row r="12" spans="1:5" x14ac:dyDescent="0.2">
      <c r="A12" s="22" t="s">
        <v>12</v>
      </c>
      <c r="B12" s="19">
        <f>+$B$6*7</f>
        <v>2884174160</v>
      </c>
      <c r="C12" s="19">
        <v>2379785728</v>
      </c>
      <c r="D12" s="20">
        <f t="shared" si="0"/>
        <v>0.58333333262544729</v>
      </c>
      <c r="E12" s="179">
        <f t="shared" si="1"/>
        <v>0.48131917929973972</v>
      </c>
    </row>
    <row r="13" spans="1:5" x14ac:dyDescent="0.2">
      <c r="A13" s="22" t="s">
        <v>13</v>
      </c>
      <c r="B13" s="19">
        <f>+$B$6*8</f>
        <v>3296199040</v>
      </c>
      <c r="C13" s="19">
        <v>2626650436</v>
      </c>
      <c r="D13" s="20">
        <f t="shared" si="0"/>
        <v>0.66666666585765399</v>
      </c>
      <c r="E13" s="179">
        <f t="shared" si="1"/>
        <v>0.53124834613800298</v>
      </c>
    </row>
    <row r="14" spans="1:5" x14ac:dyDescent="0.2">
      <c r="A14" s="22" t="s">
        <v>14</v>
      </c>
      <c r="B14" s="19">
        <f>+$B$6*9</f>
        <v>3708223920</v>
      </c>
      <c r="C14" s="19">
        <v>2982632593</v>
      </c>
      <c r="D14" s="20">
        <f t="shared" si="0"/>
        <v>0.74999999908986081</v>
      </c>
      <c r="E14" s="179">
        <f t="shared" si="1"/>
        <v>0.60324686164998076</v>
      </c>
    </row>
    <row r="15" spans="1:5" x14ac:dyDescent="0.2">
      <c r="A15" s="22" t="s">
        <v>15</v>
      </c>
      <c r="B15" s="19">
        <f>+$B$6*10</f>
        <v>4120248800</v>
      </c>
      <c r="C15" s="19">
        <v>3375817355</v>
      </c>
      <c r="D15" s="20">
        <f t="shared" si="0"/>
        <v>0.83333333232206752</v>
      </c>
      <c r="E15" s="179">
        <f t="shared" si="1"/>
        <v>0.68276972151604487</v>
      </c>
    </row>
    <row r="16" spans="1:5" x14ac:dyDescent="0.2">
      <c r="A16" s="22" t="s">
        <v>16</v>
      </c>
      <c r="B16" s="19">
        <f>+$B$6*11</f>
        <v>4532273680</v>
      </c>
      <c r="C16" s="216">
        <v>3866105561</v>
      </c>
      <c r="D16" s="20">
        <f t="shared" si="0"/>
        <v>0.91666666555427434</v>
      </c>
      <c r="E16" s="179">
        <f t="shared" si="1"/>
        <v>0.7819320596020819</v>
      </c>
    </row>
    <row r="17" spans="1:5" ht="13.5" thickBot="1" x14ac:dyDescent="0.25">
      <c r="A17" s="24" t="s">
        <v>17</v>
      </c>
      <c r="B17" s="25">
        <f>+$B$6*12+6</f>
        <v>4944298566</v>
      </c>
      <c r="C17" s="25">
        <v>4625459882</v>
      </c>
      <c r="D17" s="27">
        <f t="shared" si="0"/>
        <v>1</v>
      </c>
      <c r="E17" s="188">
        <f t="shared" si="1"/>
        <v>0.93551386920835877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16" workbookViewId="0">
      <selection activeCell="C18" sqref="C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7" t="s">
        <v>128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407229104</v>
      </c>
      <c r="C6" s="21">
        <v>7532079</v>
      </c>
      <c r="D6" s="20">
        <f>+B6/$B$17</f>
        <v>8.3333333282174585E-2</v>
      </c>
      <c r="E6" s="179">
        <f>+C6/$B$17</f>
        <v>1.5413270894672308E-3</v>
      </c>
    </row>
    <row r="7" spans="1:5" x14ac:dyDescent="0.2">
      <c r="A7" s="22" t="s">
        <v>7</v>
      </c>
      <c r="B7" s="190">
        <f>+$B$6*2</f>
        <v>814458208</v>
      </c>
      <c r="C7" s="21">
        <v>107268397</v>
      </c>
      <c r="D7" s="20">
        <f t="shared" ref="D7:D17" si="0">+B7/$B$17</f>
        <v>0.16666666656434917</v>
      </c>
      <c r="E7" s="179">
        <f t="shared" ref="E7:E17" si="1">+C7/$B$17</f>
        <v>2.1950869891277751E-2</v>
      </c>
    </row>
    <row r="8" spans="1:5" x14ac:dyDescent="0.2">
      <c r="A8" s="22" t="s">
        <v>8</v>
      </c>
      <c r="B8" s="190">
        <f>+$B$6*3</f>
        <v>1221687312</v>
      </c>
      <c r="C8" s="21">
        <v>268657320</v>
      </c>
      <c r="D8" s="20">
        <f t="shared" si="0"/>
        <v>0.24999999984652374</v>
      </c>
      <c r="E8" s="179">
        <f t="shared" si="1"/>
        <v>5.4976694362826845E-2</v>
      </c>
    </row>
    <row r="9" spans="1:5" x14ac:dyDescent="0.2">
      <c r="A9" s="22" t="s">
        <v>9</v>
      </c>
      <c r="B9" s="190">
        <f>+$B$6*4</f>
        <v>1628916416</v>
      </c>
      <c r="C9" s="21">
        <v>446866793</v>
      </c>
      <c r="D9" s="20">
        <f t="shared" si="0"/>
        <v>0.33333333312869834</v>
      </c>
      <c r="E9" s="179">
        <f t="shared" si="1"/>
        <v>9.1444592314319256E-2</v>
      </c>
    </row>
    <row r="10" spans="1:5" x14ac:dyDescent="0.2">
      <c r="A10" s="22" t="s">
        <v>10</v>
      </c>
      <c r="B10" s="190">
        <f>+$B$6*5</f>
        <v>2036145520</v>
      </c>
      <c r="C10" s="21">
        <v>628721805</v>
      </c>
      <c r="D10" s="20">
        <f t="shared" si="0"/>
        <v>0.41666666641087291</v>
      </c>
      <c r="E10" s="179">
        <f t="shared" si="1"/>
        <v>0.12865849518907513</v>
      </c>
    </row>
    <row r="11" spans="1:5" x14ac:dyDescent="0.2">
      <c r="A11" s="22" t="s">
        <v>11</v>
      </c>
      <c r="B11" s="190">
        <f>+$B$6*6</f>
        <v>2443374624</v>
      </c>
      <c r="C11" s="21">
        <v>751022366</v>
      </c>
      <c r="D11" s="20">
        <f t="shared" si="0"/>
        <v>0.49999999969304748</v>
      </c>
      <c r="E11" s="179">
        <f t="shared" si="1"/>
        <v>0.15368547216665854</v>
      </c>
    </row>
    <row r="12" spans="1:5" x14ac:dyDescent="0.2">
      <c r="A12" s="22" t="s">
        <v>12</v>
      </c>
      <c r="B12" s="190">
        <f>+$B$6*7</f>
        <v>2850603728</v>
      </c>
      <c r="C12" s="21">
        <v>988660839</v>
      </c>
      <c r="D12" s="20">
        <f t="shared" si="0"/>
        <v>0.58333333297522205</v>
      </c>
      <c r="E12" s="179">
        <f t="shared" si="1"/>
        <v>0.20231462434821787</v>
      </c>
    </row>
    <row r="13" spans="1:5" x14ac:dyDescent="0.2">
      <c r="A13" s="22" t="s">
        <v>13</v>
      </c>
      <c r="B13" s="190">
        <f>+$B$6*8</f>
        <v>3257832832</v>
      </c>
      <c r="C13" s="21">
        <v>1222766031</v>
      </c>
      <c r="D13" s="20">
        <f t="shared" si="0"/>
        <v>0.66666666625739668</v>
      </c>
      <c r="E13" s="179">
        <f t="shared" si="1"/>
        <v>0.25022074352388335</v>
      </c>
    </row>
    <row r="14" spans="1:5" x14ac:dyDescent="0.2">
      <c r="A14" s="22" t="s">
        <v>14</v>
      </c>
      <c r="B14" s="190">
        <f>+$B$6*9</f>
        <v>3665061936</v>
      </c>
      <c r="C14" s="21">
        <v>1600626290</v>
      </c>
      <c r="D14" s="20">
        <f t="shared" si="0"/>
        <v>0.74999999953957119</v>
      </c>
      <c r="E14" s="179">
        <f t="shared" si="1"/>
        <v>0.32754418280669012</v>
      </c>
    </row>
    <row r="15" spans="1:5" x14ac:dyDescent="0.2">
      <c r="A15" s="38" t="s">
        <v>15</v>
      </c>
      <c r="B15" s="190">
        <f>+$B$6*10</f>
        <v>4072291040</v>
      </c>
      <c r="C15" s="21">
        <v>1976691941</v>
      </c>
      <c r="D15" s="20">
        <f t="shared" si="0"/>
        <v>0.83333333282174582</v>
      </c>
      <c r="E15" s="179">
        <f t="shared" si="1"/>
        <v>0.40450038245680392</v>
      </c>
    </row>
    <row r="16" spans="1:5" x14ac:dyDescent="0.2">
      <c r="A16" s="38" t="s">
        <v>16</v>
      </c>
      <c r="B16" s="190">
        <f>+$B$6*11</f>
        <v>4479520144</v>
      </c>
      <c r="C16" s="21">
        <v>2547672934</v>
      </c>
      <c r="D16" s="20">
        <f t="shared" si="0"/>
        <v>0.91666666610392034</v>
      </c>
      <c r="E16" s="179">
        <f t="shared" si="1"/>
        <v>0.52134308579034561</v>
      </c>
    </row>
    <row r="17" spans="1:5" ht="13.5" thickBot="1" x14ac:dyDescent="0.25">
      <c r="A17" s="39" t="s">
        <v>17</v>
      </c>
      <c r="B17" s="218">
        <f>+$B$6*12+3</f>
        <v>4886749251</v>
      </c>
      <c r="C17" s="26">
        <v>4060773454</v>
      </c>
      <c r="D17" s="27">
        <f t="shared" si="0"/>
        <v>1</v>
      </c>
      <c r="E17" s="188">
        <f t="shared" si="1"/>
        <v>0.83097643145267241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7" t="s">
        <v>33</v>
      </c>
      <c r="B4" s="278"/>
      <c r="C4" s="278"/>
      <c r="D4" s="278"/>
      <c r="E4" s="27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7" t="s">
        <v>34</v>
      </c>
      <c r="B5" s="278"/>
      <c r="C5" s="278"/>
      <c r="D5" s="278"/>
      <c r="E5" s="27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2026-01-19T23:44:51Z</dcterms:modified>
</cp:coreProperties>
</file>