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4\PRESUPUESTO 2024\CONSEJO DIRECTIVO 2024\FEBRERO 2024\"/>
    </mc:Choice>
  </mc:AlternateContent>
  <xr:revisionPtr revIDLastSave="0" documentId="13_ncr:1_{B2B111D2-6AA5-4BB1-B73C-2D1200BA7E4C}" xr6:coauthVersionLast="36" xr6:coauthVersionMax="36" xr10:uidLastSave="{00000000-0000-0000-0000-000000000000}"/>
  <bookViews>
    <workbookView xWindow="0" yWindow="0" windowWidth="28800" windowHeight="12225" tabRatio="741" activeTab="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1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1" l="1"/>
  <c r="E8" i="11"/>
  <c r="B18" i="10"/>
  <c r="B17" i="6"/>
  <c r="B17" i="5"/>
  <c r="F7" i="1" l="1"/>
  <c r="B15" i="5" l="1"/>
  <c r="F7" i="4" l="1"/>
  <c r="F6" i="4"/>
  <c r="F5" i="4"/>
  <c r="E5" i="1" l="1"/>
  <c r="C4" i="16" l="1"/>
  <c r="B7" i="5" l="1"/>
  <c r="B7" i="1" l="1"/>
  <c r="C7" i="1"/>
  <c r="D6" i="16"/>
  <c r="H8" i="11" l="1"/>
  <c r="J6" i="11" l="1"/>
  <c r="K6" i="11"/>
  <c r="L6" i="11"/>
  <c r="J7" i="11"/>
  <c r="K7" i="11"/>
  <c r="L7" i="11"/>
  <c r="F4" i="9"/>
  <c r="D6" i="6"/>
  <c r="B10" i="10"/>
  <c r="B17" i="10"/>
  <c r="B16" i="10"/>
  <c r="B15" i="10"/>
  <c r="B9" i="10"/>
  <c r="B8" i="10"/>
  <c r="B11" i="10"/>
  <c r="B12" i="10"/>
  <c r="B13" i="10"/>
  <c r="B14" i="5"/>
  <c r="E5" i="11"/>
  <c r="K5" i="11" s="1"/>
  <c r="B12" i="5"/>
  <c r="B13" i="5"/>
  <c r="B16" i="5"/>
  <c r="B16" i="6"/>
  <c r="L5" i="11" l="1"/>
  <c r="J5" i="11"/>
  <c r="B14" i="10"/>
  <c r="B10" i="5"/>
  <c r="B11" i="5"/>
  <c r="F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D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G8" i="11" l="1"/>
  <c r="E16" i="10" l="1"/>
  <c r="C8" i="11"/>
  <c r="J8" i="11" s="1"/>
  <c r="K8" i="11" l="1"/>
  <c r="L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G7" i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ADMINFOTEP</author>
    <author>PRESUPUESTO</author>
    <author>CONTABILIDAD</author>
  </authors>
  <commentList>
    <comment ref="H7" authorId="0" shapeId="0" xr:uid="{DF6BD829-A8B7-4ACE-87ED-B53757F9F526}">
      <text>
        <r>
          <rPr>
            <b/>
            <sz val="9"/>
            <color indexed="81"/>
            <rFont val="Tahoma"/>
            <family val="2"/>
          </rPr>
          <t>ADMINFOTEP:</t>
        </r>
        <r>
          <rPr>
            <sz val="9"/>
            <color indexed="81"/>
            <rFont val="Tahoma"/>
            <family val="2"/>
          </rPr>
          <t xml:space="preserve">
VTAS DE SERVICIOS $858.681.425.
PAGOS DE INVERSIÓN: $719.302.694.
RESERVAS DE INVERSIÓN: $210.415.312.
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<sst xmlns="http://schemas.openxmlformats.org/spreadsheetml/2006/main" count="283" uniqueCount="131">
  <si>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</si>
  <si>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</si>
  <si>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</si>
  <si>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</si>
  <si>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</si>
  <si>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</si>
  <si>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</si>
  <si>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</si>
  <si>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</si>
  <si>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</si>
  <si>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</si>
  <si>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</si>
  <si>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</si>
  <si>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</si>
  <si>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</si>
  <si>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</si>
  <si>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</si>
  <si>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</si>
  <si>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</si>
  <si>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</si>
  <si>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</si>
  <si>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</si>
  <si>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</si>
  <si>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</si>
  <si>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</si>
  <si>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</si>
  <si>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</si>
  <si>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</si>
  <si>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</si>
  <si>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</si>
  <si>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</si>
  <si>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</si>
  <si>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</si>
  <si>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</si>
  <si>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</si>
  <si>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</si>
  <si>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</si>
  <si>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</si>
  <si>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</si>
  <si>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</si>
  <si>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</si>
  <si>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</si>
  <si>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</si>
  <si>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</si>
  <si>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</si>
  <si>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</si>
  <si>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</si>
  <si>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</si>
  <si>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</si>
  <si>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</si>
  <si>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</si>
  <si>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</si>
  <si>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</si>
  <si>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</si>
  <si>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</si>
  <si>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</si>
  <si>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</si>
  <si>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</si>
  <si>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</si>
  <si>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</si>
  <si>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</si>
  <si>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</si>
  <si>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</si>
  <si>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</si>
  <si>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</si>
  <si>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</si>
  <si>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</si>
  <si>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</si>
  <si>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</si>
  <si>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</si>
  <si>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</si>
  <si>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</si>
  <si>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</si>
  <si>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</si>
  <si>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</si>
  <si>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</si>
  <si>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</si>
  <si>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</si>
  <si>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</si>
  <si>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</si>
  <si>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</si>
  <si>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</si>
  <si>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</si>
  <si>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</si>
  <si>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</si>
  <si>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</si>
  <si>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</si>
  <si>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</si>
  <si>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</si>
  <si>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</si>
  <si>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</si>
  <si>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</si>
  <si>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</si>
  <si>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</si>
  <si>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</si>
  <si>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</si>
  <si>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</si>
  <si>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</si>
  <si>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</si>
  <si>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</si>
  <si>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</si>
  <si>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</si>
  <si>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</si>
  <si>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</si>
  <si>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</si>
  <si>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</si>
  <si>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</si>
  <si>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</si>
  <si>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</si>
  <si>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</si>
  <si>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</si>
  <si>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</si>
  <si>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</si>
  <si>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</si>
  <si>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</si>
  <si>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</si>
  <si>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</si>
  <si>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</si>
  <si>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Presupuesto Definitivo 2023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</si>
  <si>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</si>
  <si>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</si>
  <si>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</si>
  <si>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</si>
  <si>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EJECUCIÓN PRESUPUESTAL DE INGRESOS RECURSO PROPIOS
ENERO 2024 - DICIEMBRE 31   2024.</t>
  </si>
  <si>
    <t>C-2202-0700-7 20203K</t>
  </si>
  <si>
    <t>2. SEGURIDAD HUMANA Y JUSTICIA SOCIAL / K. EDUCACIÓN SUPERIOR COMO UN DERECHO</t>
  </si>
  <si>
    <t>CON CORTE A FEBRERO 29 DE 2024</t>
  </si>
  <si>
    <t>EJECUCIÓN PRESUPUESTAL 
GASTOS DE PERSONAL 
CON CORTE A FERBERO 29 DE 2024</t>
  </si>
  <si>
    <t>EJECUCIÓN PRESUPUESTAL
ADQUISICIÓN BIENES Y SERVICIOS
CON CORTE A FEBRERO 29 DE 2024</t>
  </si>
  <si>
    <t>Ejecución Presupuestal - Proyectos de Inversión
CON CORTE A FERBERO 29  DE 2024</t>
  </si>
  <si>
    <t>EJECUCIÓN PRESUPUESTAL 
PROYECTOS DE INVERSIÓN
CON CORTE A FEBRERO 29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</si>
</sst>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4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0" fontId="19" fillId="0" borderId="63" xfId="0" applyNumberFormat="1" applyFont="1" applyFill="1" applyBorder="1" applyAlignment="1">
      <alignment horizontal="left" vertical="center" wrapText="1" readingOrder="1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#,##0_);_("$"\ * \(#,##0\);_("$"\ * "-"_);_(@_)</c:formatCode>
                <c:ptCount val="2"/>
                <c:pt idx="0">
                  <c:v>1541558544</c:v>
                </c:pt>
                <c:pt idx="1">
                  <c:v>9655582206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0.13767430261158412</c:v>
                </c:pt>
                <c:pt idx="1">
                  <c:v>0.86232569738841591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FEBRERO 29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8.3333333335965973E-2</c:v>
                </c:pt>
                <c:pt idx="1">
                  <c:v>0.16666666667193195</c:v>
                </c:pt>
                <c:pt idx="2">
                  <c:v>0.2500000000078979</c:v>
                </c:pt>
                <c:pt idx="3">
                  <c:v>0.33333333334386389</c:v>
                </c:pt>
                <c:pt idx="4">
                  <c:v>0.41666666667982988</c:v>
                </c:pt>
                <c:pt idx="5">
                  <c:v>0.50000000001579581</c:v>
                </c:pt>
                <c:pt idx="6">
                  <c:v>0.58333333335176185</c:v>
                </c:pt>
                <c:pt idx="7">
                  <c:v>0.66666666668772778</c:v>
                </c:pt>
                <c:pt idx="8">
                  <c:v>0.75000000002369371</c:v>
                </c:pt>
                <c:pt idx="9">
                  <c:v>0.83333333335965976</c:v>
                </c:pt>
                <c:pt idx="10">
                  <c:v>0.9166666666956258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2.3390190737521455E-2</c:v>
                </c:pt>
                <c:pt idx="1">
                  <c:v>8.0969961492250164E-2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FEBRERO 29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105513219.67</c:v>
                </c:pt>
                <c:pt idx="1">
                  <c:v>211026439.34</c:v>
                </c:pt>
                <c:pt idx="2">
                  <c:v>316539659.00999999</c:v>
                </c:pt>
                <c:pt idx="3">
                  <c:v>422052878.68000001</c:v>
                </c:pt>
                <c:pt idx="4">
                  <c:v>527566098.35000002</c:v>
                </c:pt>
                <c:pt idx="5">
                  <c:v>633079318.01999998</c:v>
                </c:pt>
                <c:pt idx="6">
                  <c:v>738592537.69000006</c:v>
                </c:pt>
                <c:pt idx="7">
                  <c:v>844105757.36000001</c:v>
                </c:pt>
                <c:pt idx="8">
                  <c:v>949618977.02999997</c:v>
                </c:pt>
                <c:pt idx="9">
                  <c:v>1055132196.7</c:v>
                </c:pt>
                <c:pt idx="10">
                  <c:v>1160645416.3700001</c:v>
                </c:pt>
                <c:pt idx="11">
                  <c:v>1266158636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29615692</c:v>
                </c:pt>
                <c:pt idx="1">
                  <c:v>102520816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FEBRERO 29 DE 2024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4138232398</c:v>
                </c:pt>
                <c:pt idx="1">
                  <c:v>4138232398</c:v>
                </c:pt>
                <c:pt idx="2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FEBRERO 29 DE 2024</a:t>
            </a:r>
          </a:p>
        </c:rich>
      </c:tx>
      <c:layout>
        <c:manualLayout>
          <c:xMode val="edge"/>
          <c:yMode val="edge"/>
          <c:x val="0.3676307189542483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0.41666666666666663</c:v>
                </c:pt>
                <c:pt idx="5">
                  <c:v>0.5</c:v>
                </c:pt>
                <c:pt idx="6">
                  <c:v>0.58333333333333326</c:v>
                </c:pt>
                <c:pt idx="7">
                  <c:v>0.66666666666666663</c:v>
                </c:pt>
                <c:pt idx="8">
                  <c:v>0.74999999999999989</c:v>
                </c:pt>
                <c:pt idx="9">
                  <c:v>0.83333333333333326</c:v>
                </c:pt>
                <c:pt idx="10">
                  <c:v>0.91666666666666652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14-17'!$C$4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14-17'!$C$5:$C$7</c:f>
              <c:numCache>
                <c:formatCode>#,##0</c:formatCode>
                <c:ptCount val="1"/>
                <c:pt idx="0">
                  <c:v>4138232398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14-17'!$F$4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14-17'!$F$5:$F$7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14-17'!$G$4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14-17'!$H$4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FEBRERO 29 DE 2024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14-17'!$I$4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14-17'!$J$4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14-17'!$K$4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14-17'!$L$4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#,##0_);_("$"\ * \(#,##0\);_("$"\ * "-"_);_(@_)</c:formatCode>
                <c:ptCount val="2"/>
                <c:pt idx="0">
                  <c:v>19334069</c:v>
                </c:pt>
                <c:pt idx="1">
                  <c:v>2049369751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1.7266969694919661E-3</c:v>
                </c:pt>
                <c:pt idx="1">
                  <c:v>0.18302616683638634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#,##0_-;\-* #,##0_-;_-*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Presupuesto Definitivo 2023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#,##0.00_);_(* \(#,##0.00\);_(* "-"??_);_(@_)</c:formatCode>
                <c:ptCount val="4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  <c:pt idx="3">
                  <c:v>1541558544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,##0.00_);_(* \(#,##0.00\);_(* &quot;-&quot;??_);_(@_)">
                  <c:v>19334069</c:v>
                </c:pt>
                <c:pt idx="1">
                  <c:v>0</c:v>
                </c:pt>
                <c:pt idx="2">
                  <c:v>0</c:v>
                </c:pt>
                <c:pt idx="3">
                  <c:v>19334069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1.479219546721405E-2</c:v>
                </c:pt>
                <c:pt idx="1">
                  <c:v>0</c:v>
                </c:pt>
                <c:pt idx="2">
                  <c:v>0</c:v>
                </c:pt>
                <c:pt idx="3" formatCode="0.00%">
                  <c:v>1.2541897338412079E-2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2023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#,##0.00_);_(* \(#,##0.00\);_(* "-"??_);_(@_)</c:formatCode>
                <c:ptCount val="3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,##0.00_);_(* \(#,##0.00\);_(* &quot;-&quot;??_);_(@_)">
                  <c:v>19334069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1.479219546721405E-2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FEBRERO 29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7058908352</c:v>
                </c:pt>
                <c:pt idx="1">
                  <c:v>0</c:v>
                </c:pt>
                <c:pt idx="2">
                  <c:v>0</c:v>
                </c:pt>
                <c:pt idx="3">
                  <c:v>7058908352</c:v>
                </c:pt>
                <c:pt idx="4">
                  <c:v>2234248192</c:v>
                </c:pt>
                <c:pt idx="5">
                  <c:v>507015367</c:v>
                </c:pt>
                <c:pt idx="6">
                  <c:v>400580063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4138232398</c:v>
                </c:pt>
                <c:pt idx="1">
                  <c:v>0</c:v>
                </c:pt>
                <c:pt idx="3">
                  <c:v>4138232398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FEBRERO 29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3060729352</c:v>
                </c:pt>
                <c:pt idx="1">
                  <c:v>0</c:v>
                </c:pt>
                <c:pt idx="2">
                  <c:v>0</c:v>
                </c:pt>
                <c:pt idx="3">
                  <c:v>3060729352</c:v>
                </c:pt>
                <c:pt idx="4">
                  <c:v>1499012687</c:v>
                </c:pt>
                <c:pt idx="5">
                  <c:v>404494551</c:v>
                </c:pt>
                <c:pt idx="6">
                  <c:v>350781321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0</c:v>
                </c:pt>
                <c:pt idx="2">
                  <c:v>0</c:v>
                </c:pt>
                <c:pt idx="3">
                  <c:v>1266158636</c:v>
                </c:pt>
                <c:pt idx="4">
                  <c:v>617709127</c:v>
                </c:pt>
                <c:pt idx="5">
                  <c:v>102520816</c:v>
                </c:pt>
                <c:pt idx="6">
                  <c:v>49798742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2732020364</c:v>
                </c:pt>
                <c:pt idx="1">
                  <c:v>0</c:v>
                </c:pt>
                <c:pt idx="2">
                  <c:v>0</c:v>
                </c:pt>
                <c:pt idx="3">
                  <c:v>2732020364</c:v>
                </c:pt>
                <c:pt idx="4">
                  <c:v>117526378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4138232398</c:v>
                </c:pt>
                <c:pt idx="1">
                  <c:v>0</c:v>
                </c:pt>
                <c:pt idx="2">
                  <c:v>0</c:v>
                </c:pt>
                <c:pt idx="3">
                  <c:v>4138232398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FERBERO 29 DE 2024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8.3333333332244269E-2</c:v>
                </c:pt>
                <c:pt idx="1">
                  <c:v>0.16666666666448854</c:v>
                </c:pt>
                <c:pt idx="2">
                  <c:v>0.24999999999673281</c:v>
                </c:pt>
                <c:pt idx="3">
                  <c:v>0.33333333332897708</c:v>
                </c:pt>
                <c:pt idx="4">
                  <c:v>0.41666666666122137</c:v>
                </c:pt>
                <c:pt idx="5">
                  <c:v>0.49999999999346562</c:v>
                </c:pt>
                <c:pt idx="6">
                  <c:v>0.58333333332570991</c:v>
                </c:pt>
                <c:pt idx="7">
                  <c:v>0.66666666665795415</c:v>
                </c:pt>
                <c:pt idx="8">
                  <c:v>0.74999999999019851</c:v>
                </c:pt>
                <c:pt idx="9">
                  <c:v>0.83333333332244275</c:v>
                </c:pt>
                <c:pt idx="10">
                  <c:v>0.91666666665468699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6.5398401158600711E-2</c:v>
                </c:pt>
                <c:pt idx="1">
                  <c:v>0.13215626227640398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FERBERO 29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#,##0_-;\-* #,##0_-;_-* "-"??_-;_-@_-</c:formatCode>
                <c:ptCount val="12"/>
                <c:pt idx="0">
                  <c:v>255060779.33000001</c:v>
                </c:pt>
                <c:pt idx="1">
                  <c:v>510121558.66000003</c:v>
                </c:pt>
                <c:pt idx="2">
                  <c:v>765182337.99000001</c:v>
                </c:pt>
                <c:pt idx="3">
                  <c:v>1020243117.3200001</c:v>
                </c:pt>
                <c:pt idx="4">
                  <c:v>1275303896.6500001</c:v>
                </c:pt>
                <c:pt idx="5">
                  <c:v>1530364675.98</c:v>
                </c:pt>
                <c:pt idx="6">
                  <c:v>1785425455.3100002</c:v>
                </c:pt>
                <c:pt idx="7">
                  <c:v>2040486234.6400001</c:v>
                </c:pt>
                <c:pt idx="8">
                  <c:v>2295547013.9700003</c:v>
                </c:pt>
                <c:pt idx="9">
                  <c:v>2550607793.3000002</c:v>
                </c:pt>
                <c:pt idx="10">
                  <c:v>2805668572.6300001</c:v>
                </c:pt>
                <c:pt idx="11">
                  <c:v>3060729352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#,##0_-;\-* #,##0_-;_-* "-"??_-;_-@_-</c:formatCode>
                <c:ptCount val="12"/>
                <c:pt idx="0">
                  <c:v>200166806</c:v>
                </c:pt>
                <c:pt idx="1">
                  <c:v>404494551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110525</xdr:colOff>
      <xdr:row>8</xdr:row>
      <xdr:rowOff>113130</xdr:rowOff>
    </xdr:from>
    <xdr:to>
      <xdr:col>14</xdr:col>
      <xdr:colOff>110526</xdr:colOff>
      <xdr:row>42</xdr:row>
      <xdr:rowOff>98844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246031</xdr:colOff>
      <xdr:row>8</xdr:row>
      <xdr:rowOff>129664</xdr:rowOff>
    </xdr:from>
    <xdr:to>
      <xdr:col>29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1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8" sqref="H8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0" t="s">
        <v>101</v>
      </c>
      <c r="C3" s="251"/>
      <c r="D3" s="251"/>
      <c r="E3" s="251"/>
      <c r="F3" s="251"/>
      <c r="G3" s="251"/>
      <c r="H3" s="251"/>
      <c r="I3" s="252"/>
    </row>
    <row r="4" spans="2:14" ht="13.5" customHeight="1" thickBot="1" x14ac:dyDescent="0.25">
      <c r="B4" s="247" t="s">
        <v>126</v>
      </c>
      <c r="C4" s="248"/>
      <c r="D4" s="248"/>
      <c r="E4" s="248"/>
      <c r="F4" s="248"/>
      <c r="G4" s="248"/>
      <c r="H4" s="248"/>
      <c r="I4" s="249"/>
    </row>
    <row r="5" spans="2:14" ht="13.5" thickBot="1" x14ac:dyDescent="0.25"/>
    <row r="6" spans="2:14" ht="51.75" thickBot="1" x14ac:dyDescent="0.25">
      <c r="B6" s="138" t="s">
        <v>90</v>
      </c>
      <c r="C6" s="209" t="s">
        <v>115</v>
      </c>
      <c r="D6" s="223" t="s">
        <v>120</v>
      </c>
      <c r="E6" s="223" t="s">
        <v>117</v>
      </c>
      <c r="F6" s="210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1541558544</v>
      </c>
      <c r="D7" s="224">
        <v>0</v>
      </c>
      <c r="E7" s="225">
        <v>0</v>
      </c>
      <c r="F7" s="142">
        <f>C7+D7-E7</f>
        <v>1541558544</v>
      </c>
      <c r="G7" s="31">
        <f>F7/F10</f>
        <v>0.13767430261158412</v>
      </c>
      <c r="H7" s="236">
        <v>19334069</v>
      </c>
      <c r="I7" s="177">
        <f>H7/F10</f>
        <v>1.7266969694919661E-3</v>
      </c>
      <c r="K7" s="163"/>
      <c r="M7" s="154"/>
    </row>
    <row r="8" spans="2:14" ht="13.5" customHeight="1" thickBot="1" x14ac:dyDescent="0.25">
      <c r="B8" s="137" t="s">
        <v>105</v>
      </c>
      <c r="C8" s="143">
        <v>9655582206</v>
      </c>
      <c r="D8" s="205">
        <v>0</v>
      </c>
      <c r="E8" s="225">
        <v>0</v>
      </c>
      <c r="F8" s="142">
        <f>C8+D8-E8</f>
        <v>9655582206</v>
      </c>
      <c r="G8" s="31">
        <f>F8/F10</f>
        <v>0.86232569738841591</v>
      </c>
      <c r="H8" s="189">
        <v>2049369751</v>
      </c>
      <c r="I8" s="179">
        <f>H8/F10</f>
        <v>0.18302616683638634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6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3">
        <f>+C7+C8+C9</f>
        <v>11197140750</v>
      </c>
      <c r="D10" s="203">
        <f>SUM(D7:D9)</f>
        <v>0</v>
      </c>
      <c r="E10" s="227">
        <f>SUM(E7:E9)</f>
        <v>0</v>
      </c>
      <c r="F10" s="203">
        <f>+F7+F8+F9</f>
        <v>11197140750</v>
      </c>
      <c r="G10" s="149">
        <f>SUM(G7:G9)</f>
        <v>1</v>
      </c>
      <c r="H10" s="148">
        <f>SUM(H7:H9)</f>
        <v>2068703820</v>
      </c>
      <c r="I10" s="178">
        <f>SUM(I7:I9)</f>
        <v>0.1847528638058783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4"/>
      <c r="E32" s="204"/>
      <c r="F32" s="204"/>
      <c r="G32" s="141" t="s">
        <v>96</v>
      </c>
    </row>
    <row r="33" spans="2:15" x14ac:dyDescent="0.2">
      <c r="B33" s="136" t="s">
        <v>92</v>
      </c>
      <c r="C33" s="142">
        <f>+H7</f>
        <v>19334069</v>
      </c>
      <c r="D33" s="205"/>
      <c r="E33" s="205"/>
      <c r="F33" s="205"/>
      <c r="G33" s="177">
        <f>C33/C10</f>
        <v>1.7266969694919661E-3</v>
      </c>
    </row>
    <row r="34" spans="2:15" ht="13.5" thickBot="1" x14ac:dyDescent="0.25">
      <c r="B34" s="137" t="s">
        <v>93</v>
      </c>
      <c r="C34" s="142">
        <f>+H8</f>
        <v>2049369751</v>
      </c>
      <c r="D34" s="205"/>
      <c r="E34" s="205"/>
      <c r="F34" s="205"/>
      <c r="G34" s="179">
        <f>C34/C10</f>
        <v>0.18302616683638634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6"/>
      <c r="E35" s="206"/>
      <c r="F35" s="206"/>
      <c r="G35" s="180">
        <f>C35/C10</f>
        <v>0</v>
      </c>
    </row>
    <row r="36" spans="2:15" ht="13.5" thickBot="1" x14ac:dyDescent="0.25">
      <c r="B36" s="147" t="s">
        <v>89</v>
      </c>
      <c r="C36" s="202">
        <f>SUM(C33:C35)</f>
        <v>2068703820</v>
      </c>
      <c r="D36" s="207"/>
      <c r="E36" s="207"/>
      <c r="F36" s="207"/>
      <c r="G36" s="208">
        <f>SUM(G33:G35)</f>
        <v>0.1847528638058783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I21" sqref="I21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6" t="s">
        <v>129</v>
      </c>
      <c r="C2" s="277"/>
      <c r="D2" s="277"/>
      <c r="E2" s="277"/>
      <c r="F2" s="278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4138232398</v>
      </c>
      <c r="D4" s="53">
        <v>4138232398</v>
      </c>
      <c r="E4" s="53">
        <v>0</v>
      </c>
      <c r="F4" s="186">
        <f>E4/D4</f>
        <v>0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O19" sqref="O19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3" t="s">
        <v>130</v>
      </c>
      <c r="B5" s="274"/>
      <c r="C5" s="274"/>
      <c r="D5" s="274"/>
      <c r="E5" s="275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344852699.82999998</v>
      </c>
      <c r="C7" s="47">
        <v>0</v>
      </c>
      <c r="D7" s="48">
        <f>+B7/$B$18</f>
        <v>8.3333333333333329E-2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689705399.65999997</v>
      </c>
      <c r="C8" s="47">
        <v>0</v>
      </c>
      <c r="D8" s="48">
        <f>+B8/$B$18</f>
        <v>0.16666666666666666</v>
      </c>
      <c r="E8" s="187">
        <f t="shared" ref="D8:E18" si="0">+C8/$B$18</f>
        <v>0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1034558099.49</v>
      </c>
      <c r="C9" s="47">
        <v>0</v>
      </c>
      <c r="D9" s="48">
        <f t="shared" si="0"/>
        <v>0.25</v>
      </c>
      <c r="E9" s="187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1379410799.3199999</v>
      </c>
      <c r="C10" s="47">
        <v>0</v>
      </c>
      <c r="D10" s="48">
        <f t="shared" si="0"/>
        <v>0.33333333333333331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1724263499.1499999</v>
      </c>
      <c r="C11" s="47">
        <v>0</v>
      </c>
      <c r="D11" s="48">
        <f t="shared" si="0"/>
        <v>0.41666666666666663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2069116198.98</v>
      </c>
      <c r="C12" s="47">
        <v>0</v>
      </c>
      <c r="D12" s="48">
        <f t="shared" si="0"/>
        <v>0.5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2413968898.8099999</v>
      </c>
      <c r="C13" s="47">
        <v>0</v>
      </c>
      <c r="D13" s="48">
        <f t="shared" si="0"/>
        <v>0.58333333333333326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2758821598.6399999</v>
      </c>
      <c r="C14" s="47">
        <v>0</v>
      </c>
      <c r="D14" s="48">
        <f t="shared" si="0"/>
        <v>0.66666666666666663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3103674298.4699998</v>
      </c>
      <c r="C15" s="47">
        <v>0</v>
      </c>
      <c r="D15" s="48">
        <f>+B15/$B$18</f>
        <v>0.74999999999999989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3448526998.2999997</v>
      </c>
      <c r="C16" s="47">
        <v>0</v>
      </c>
      <c r="D16" s="48">
        <f>+B16/$B$18</f>
        <v>0.83333333333333326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3793379698.1299996</v>
      </c>
      <c r="C17" s="47">
        <v>0</v>
      </c>
      <c r="D17" s="48">
        <f>+B17/$B$18</f>
        <v>0.91666666666666652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20">
        <f>+$B$7*12</f>
        <v>4138232397.96</v>
      </c>
      <c r="C18" s="221">
        <v>0</v>
      </c>
      <c r="D18" s="56">
        <f>+B18/$B$18</f>
        <v>1</v>
      </c>
      <c r="E18" s="222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4"/>
  <sheetViews>
    <sheetView zoomScale="95" zoomScaleNormal="95" workbookViewId="0">
      <selection activeCell="B3" sqref="B3:L3"/>
    </sheetView>
  </sheetViews>
  <sheetFormatPr baseColWidth="10" defaultRowHeight="12.75" x14ac:dyDescent="0.2"/>
  <cols>
    <col min="1" max="1" width="17" customWidth="1"/>
    <col min="2" max="2" width="53.5703125" customWidth="1"/>
    <col min="3" max="7" width="16.7109375" customWidth="1"/>
    <col min="8" max="8" width="15.28515625" customWidth="1"/>
    <col min="9" max="12" width="11" customWidth="1"/>
  </cols>
  <sheetData>
    <row r="1" spans="1:12" ht="48" customHeight="1" x14ac:dyDescent="0.2"/>
    <row r="2" spans="1:12" ht="20.25" customHeight="1" x14ac:dyDescent="0.2">
      <c r="B2" s="279" t="s">
        <v>42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</row>
    <row r="3" spans="1:12" ht="26.25" customHeight="1" thickBot="1" x14ac:dyDescent="0.25">
      <c r="B3" s="280" t="s">
        <v>126</v>
      </c>
      <c r="C3" s="280"/>
      <c r="D3" s="280"/>
      <c r="E3" s="280"/>
      <c r="F3" s="280"/>
      <c r="G3" s="280"/>
      <c r="H3" s="280"/>
      <c r="I3" s="280"/>
      <c r="J3" s="280"/>
      <c r="K3" s="280"/>
      <c r="L3" s="280"/>
    </row>
    <row r="4" spans="1:12" ht="86.25" customHeight="1" thickBot="1" x14ac:dyDescent="0.25">
      <c r="A4" s="193" t="s">
        <v>110</v>
      </c>
      <c r="B4" s="60" t="s">
        <v>20</v>
      </c>
      <c r="C4" s="60" t="s">
        <v>113</v>
      </c>
      <c r="D4" s="60" t="str">
        <f>'EJECUCIÓN DE GASTOS'!D4</f>
        <v>ADICIÓN</v>
      </c>
      <c r="E4" s="60" t="s">
        <v>21</v>
      </c>
      <c r="F4" s="61" t="s">
        <v>22</v>
      </c>
      <c r="G4" s="61" t="s">
        <v>23</v>
      </c>
      <c r="H4" s="62" t="s">
        <v>24</v>
      </c>
      <c r="I4" s="63" t="s">
        <v>43</v>
      </c>
      <c r="J4" s="63" t="s">
        <v>28</v>
      </c>
      <c r="K4" s="63" t="s">
        <v>29</v>
      </c>
      <c r="L4" s="155" t="s">
        <v>30</v>
      </c>
    </row>
    <row r="5" spans="1:12" ht="55.5" customHeight="1" thickBot="1" x14ac:dyDescent="0.25">
      <c r="A5" s="245" t="s">
        <v>124</v>
      </c>
      <c r="B5" s="246" t="s">
        <v>125</v>
      </c>
      <c r="C5" s="150">
        <v>4138232398</v>
      </c>
      <c r="D5" s="150"/>
      <c r="E5" s="150">
        <f>C5+D5</f>
        <v>4138232398</v>
      </c>
      <c r="F5" s="40">
        <v>0</v>
      </c>
      <c r="G5" s="40">
        <v>0</v>
      </c>
      <c r="H5" s="40">
        <v>0</v>
      </c>
      <c r="I5" s="156">
        <v>1</v>
      </c>
      <c r="J5" s="156">
        <f>F5/E5</f>
        <v>0</v>
      </c>
      <c r="K5" s="157">
        <f>G5/E5</f>
        <v>0</v>
      </c>
      <c r="L5" s="157">
        <f>H5/E5</f>
        <v>0</v>
      </c>
    </row>
    <row r="6" spans="1:12" ht="55.5" hidden="1" customHeight="1" thickBot="1" x14ac:dyDescent="0.25">
      <c r="A6" s="191"/>
      <c r="B6" s="192"/>
      <c r="C6" s="150"/>
      <c r="D6" s="150"/>
      <c r="E6" s="150"/>
      <c r="F6" s="40"/>
      <c r="G6" s="40"/>
      <c r="H6" s="40"/>
      <c r="I6" s="156"/>
      <c r="J6" s="156" t="e">
        <f t="shared" ref="J6:J7" si="0">F6/E6</f>
        <v>#DIV/0!</v>
      </c>
      <c r="K6" s="157" t="e">
        <f t="shared" ref="K6:K7" si="1">G6/E6</f>
        <v>#DIV/0!</v>
      </c>
      <c r="L6" s="157" t="e">
        <f t="shared" ref="L6:L7" si="2">H6/E6</f>
        <v>#DIV/0!</v>
      </c>
    </row>
    <row r="7" spans="1:12" ht="55.5" hidden="1" customHeight="1" thickBot="1" x14ac:dyDescent="0.25">
      <c r="A7" s="191"/>
      <c r="B7" s="192"/>
      <c r="C7" s="150"/>
      <c r="D7" s="150"/>
      <c r="E7" s="150"/>
      <c r="F7" s="40"/>
      <c r="G7" s="40"/>
      <c r="H7" s="40"/>
      <c r="I7" s="156"/>
      <c r="J7" s="156" t="e">
        <f t="shared" si="0"/>
        <v>#DIV/0!</v>
      </c>
      <c r="K7" s="157" t="e">
        <f t="shared" si="1"/>
        <v>#DIV/0!</v>
      </c>
      <c r="L7" s="157" t="e">
        <f t="shared" si="2"/>
        <v>#DIV/0!</v>
      </c>
    </row>
    <row r="8" spans="1:12" ht="26.25" customHeight="1" thickBot="1" x14ac:dyDescent="0.25">
      <c r="B8" s="176"/>
      <c r="C8" s="150">
        <f>+SUM(C5:C7)</f>
        <v>4138232398</v>
      </c>
      <c r="D8" s="150">
        <f>SUM(D5)</f>
        <v>0</v>
      </c>
      <c r="E8" s="150">
        <f>SUM(E5:E7)</f>
        <v>4138232398</v>
      </c>
      <c r="F8" s="150">
        <f>+SUM(F5:F7)</f>
        <v>0</v>
      </c>
      <c r="G8" s="175">
        <f>+SUM(G5:G7)</f>
        <v>0</v>
      </c>
      <c r="H8" s="175">
        <f>+SUM(H5:H7)</f>
        <v>0</v>
      </c>
      <c r="I8" s="158">
        <v>1</v>
      </c>
      <c r="J8" s="156">
        <f>F8/E8</f>
        <v>0</v>
      </c>
      <c r="K8" s="157">
        <f>G8/E8</f>
        <v>0</v>
      </c>
      <c r="L8" s="157">
        <f>H8/E8</f>
        <v>0</v>
      </c>
    </row>
    <row r="11" spans="1:12" x14ac:dyDescent="0.2">
      <c r="A11" s="45"/>
    </row>
    <row r="12" spans="1:12" x14ac:dyDescent="0.2">
      <c r="A12" s="154"/>
    </row>
    <row r="14" spans="1:12" x14ac:dyDescent="0.2">
      <c r="A14" s="45"/>
    </row>
  </sheetData>
  <mergeCells count="2">
    <mergeCell ref="B2:L2"/>
    <mergeCell ref="B3:L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1" t="s">
        <v>60</v>
      </c>
      <c r="B16" s="282"/>
      <c r="C16" s="282"/>
      <c r="D16" s="282"/>
      <c r="E16" s="282"/>
      <c r="F16" s="283"/>
    </row>
    <row r="17" spans="1:6" ht="25.5" customHeight="1" thickBot="1" x14ac:dyDescent="0.25">
      <c r="A17" s="284"/>
      <c r="B17" s="285"/>
      <c r="C17" s="285"/>
      <c r="D17" s="285"/>
      <c r="E17" s="285"/>
      <c r="F17" s="286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87" t="str">
        <f>+A16</f>
        <v>EJECUCIÓN PRESUPUESTAL
RESERVAS PRESUPUESTALES
A AGOSTO 31 DE 2015</v>
      </c>
      <c r="B31" s="288"/>
      <c r="C31" s="288"/>
      <c r="D31" s="288"/>
      <c r="E31" s="289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3" t="s">
        <v>88</v>
      </c>
      <c r="B2" s="254"/>
      <c r="C2" s="254"/>
      <c r="D2" s="254"/>
      <c r="E2" s="254"/>
      <c r="F2" s="254"/>
      <c r="G2" s="255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0" t="s">
        <v>65</v>
      </c>
      <c r="B19" s="291"/>
      <c r="C19" s="292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6" t="s">
        <v>65</v>
      </c>
      <c r="B28" s="293"/>
      <c r="C28" s="293"/>
      <c r="D28" s="257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tabSelected="1" workbookViewId="0">
      <selection activeCell="A2" sqref="A2:D2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3" t="s">
        <v>123</v>
      </c>
      <c r="B2" s="254"/>
      <c r="C2" s="254"/>
      <c r="D2" s="255"/>
    </row>
    <row r="3" spans="1:6" s="113" customFormat="1" ht="39" thickBot="1" x14ac:dyDescent="0.25">
      <c r="A3" s="110" t="s">
        <v>106</v>
      </c>
      <c r="B3" s="111" t="s">
        <v>118</v>
      </c>
      <c r="C3" s="112" t="s">
        <v>119</v>
      </c>
      <c r="D3" s="111" t="s">
        <v>107</v>
      </c>
    </row>
    <row r="4" spans="1:6" ht="13.5" thickBot="1" x14ac:dyDescent="0.25">
      <c r="A4" s="114" t="s">
        <v>75</v>
      </c>
      <c r="B4" s="194">
        <v>1307045262</v>
      </c>
      <c r="C4" s="159">
        <f>'EJE INGRESOS'!H7</f>
        <v>19334069</v>
      </c>
      <c r="D4" s="160">
        <f>C4/B4</f>
        <v>1.479219546721405E-2</v>
      </c>
      <c r="E4" s="117"/>
      <c r="F4" s="170"/>
    </row>
    <row r="5" spans="1:6" ht="13.5" thickBot="1" x14ac:dyDescent="0.25">
      <c r="A5" s="114" t="s">
        <v>76</v>
      </c>
      <c r="B5" s="195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234513282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1541558544</v>
      </c>
      <c r="C7" s="169">
        <f>SUM(C4:C6)</f>
        <v>19334069</v>
      </c>
      <c r="D7" s="184">
        <f>C7/B7</f>
        <v>1.2541897338412079E-2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6" t="s">
        <v>108</v>
      </c>
      <c r="B10" s="257"/>
      <c r="C10" s="171"/>
    </row>
    <row r="11" spans="1:6" ht="12.75" customHeight="1" x14ac:dyDescent="0.2">
      <c r="A11" s="125" t="s">
        <v>66</v>
      </c>
      <c r="B11" s="161">
        <v>2024</v>
      </c>
      <c r="C11" s="172"/>
    </row>
    <row r="12" spans="1:6" x14ac:dyDescent="0.2">
      <c r="A12" s="99" t="s">
        <v>69</v>
      </c>
      <c r="B12" s="101">
        <f>B7</f>
        <v>1541558544</v>
      </c>
      <c r="C12" s="173"/>
    </row>
    <row r="13" spans="1:6" x14ac:dyDescent="0.2">
      <c r="A13" s="162" t="s">
        <v>109</v>
      </c>
      <c r="B13" s="101">
        <f>C7</f>
        <v>19334069</v>
      </c>
      <c r="C13" s="173"/>
    </row>
    <row r="14" spans="1:6" ht="13.5" thickBot="1" x14ac:dyDescent="0.25">
      <c r="A14" s="102" t="s">
        <v>71</v>
      </c>
      <c r="B14" s="185">
        <f>+B13/B12</f>
        <v>1.2541897338412079E-2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H6" sqref="H6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58" t="s">
        <v>104</v>
      </c>
      <c r="B2" s="259"/>
      <c r="C2" s="259"/>
      <c r="D2" s="259"/>
      <c r="E2" s="259"/>
      <c r="F2" s="259"/>
      <c r="G2" s="259"/>
      <c r="H2" s="260"/>
      <c r="I2" s="14"/>
      <c r="J2" s="261" t="s">
        <v>102</v>
      </c>
      <c r="K2" s="261"/>
      <c r="L2" s="261"/>
    </row>
    <row r="3" spans="1:16" ht="13.5" customHeight="1" thickBot="1" x14ac:dyDescent="0.25">
      <c r="A3" s="247" t="s">
        <v>126</v>
      </c>
      <c r="B3" s="248"/>
      <c r="C3" s="248"/>
      <c r="D3" s="248"/>
      <c r="E3" s="248"/>
      <c r="F3" s="248"/>
      <c r="G3" s="248"/>
      <c r="H3" s="249"/>
      <c r="I3" s="14"/>
      <c r="J3" s="262"/>
      <c r="K3" s="262"/>
      <c r="L3" s="262"/>
    </row>
    <row r="4" spans="1:16" ht="93.75" customHeight="1" thickBot="1" x14ac:dyDescent="0.25">
      <c r="A4" s="1" t="s">
        <v>20</v>
      </c>
      <c r="B4" s="2" t="s">
        <v>113</v>
      </c>
      <c r="C4" s="215" t="s">
        <v>121</v>
      </c>
      <c r="D4" s="223" t="s">
        <v>122</v>
      </c>
      <c r="E4" s="2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8"/>
    </row>
    <row r="5" spans="1:16" ht="15" customHeight="1" thickBot="1" x14ac:dyDescent="0.25">
      <c r="A5" s="4" t="s">
        <v>25</v>
      </c>
      <c r="B5" s="5">
        <v>7058908352</v>
      </c>
      <c r="C5" s="5">
        <v>0</v>
      </c>
      <c r="D5" s="5">
        <v>0</v>
      </c>
      <c r="E5" s="5">
        <f>B5+C5-D5</f>
        <v>7058908352</v>
      </c>
      <c r="F5" s="5">
        <v>2234248192</v>
      </c>
      <c r="G5" s="5">
        <v>507015367</v>
      </c>
      <c r="H5" s="5">
        <v>400580063</v>
      </c>
      <c r="J5" s="211">
        <f>F5/E5</f>
        <v>0.31651469045733832</v>
      </c>
      <c r="K5" s="212">
        <f>G5/E5</f>
        <v>7.1826313888371615E-2</v>
      </c>
      <c r="L5" s="213">
        <f>H5/E5</f>
        <v>5.6748160342172976E-2</v>
      </c>
      <c r="M5" s="45"/>
      <c r="N5" s="242"/>
      <c r="O5" s="243"/>
      <c r="P5" s="243"/>
    </row>
    <row r="6" spans="1:16" ht="13.5" thickBot="1" x14ac:dyDescent="0.25">
      <c r="A6" s="6" t="s">
        <v>27</v>
      </c>
      <c r="B6" s="7">
        <v>4138232398</v>
      </c>
      <c r="C6" s="7">
        <v>0</v>
      </c>
      <c r="D6" s="7"/>
      <c r="E6" s="5">
        <f>B6+C6-D6</f>
        <v>4138232398</v>
      </c>
      <c r="F6" s="7">
        <v>0</v>
      </c>
      <c r="G6" s="230">
        <v>0</v>
      </c>
      <c r="H6" s="7">
        <v>0</v>
      </c>
      <c r="J6" s="211">
        <f>F6/E6</f>
        <v>0</v>
      </c>
      <c r="K6" s="212">
        <f>G6/E6</f>
        <v>0</v>
      </c>
      <c r="L6" s="213">
        <f>H6/E6</f>
        <v>0</v>
      </c>
      <c r="M6" s="45"/>
      <c r="N6" s="237"/>
      <c r="O6" s="243"/>
      <c r="P6" s="237"/>
    </row>
    <row r="7" spans="1:16" ht="13.5" thickBot="1" x14ac:dyDescent="0.25">
      <c r="A7" s="8" t="s">
        <v>89</v>
      </c>
      <c r="B7" s="199">
        <f>+SUM(B5:B6)</f>
        <v>11197140750</v>
      </c>
      <c r="C7" s="199">
        <f>+SUM(C5:C6)</f>
        <v>0</v>
      </c>
      <c r="D7" s="228">
        <f>D5+D6</f>
        <v>0</v>
      </c>
      <c r="E7" s="201">
        <f>SUM(E5:E6)</f>
        <v>11197140750</v>
      </c>
      <c r="F7" s="200">
        <f>+SUM(F5:F6)</f>
        <v>2234248192</v>
      </c>
      <c r="G7" s="9">
        <f>+SUM(G5:G6)</f>
        <v>507015367</v>
      </c>
      <c r="H7" s="9">
        <f>+SUM(H5:H6)</f>
        <v>400580063</v>
      </c>
      <c r="J7" s="181">
        <f>F7/E7</f>
        <v>0.19953738564909976</v>
      </c>
      <c r="K7" s="182">
        <f>G7/B7</f>
        <v>4.5280788937122188E-2</v>
      </c>
      <c r="L7" s="183">
        <f>H7/E7</f>
        <v>3.5775210113349699E-2</v>
      </c>
      <c r="M7" s="45"/>
      <c r="N7" s="237"/>
      <c r="O7" s="243"/>
      <c r="P7" s="237"/>
    </row>
    <row r="8" spans="1:16" x14ac:dyDescent="0.2">
      <c r="N8" s="237"/>
      <c r="O8" s="243"/>
      <c r="P8" s="237"/>
    </row>
    <row r="9" spans="1:16" x14ac:dyDescent="0.2">
      <c r="N9" s="237"/>
      <c r="O9" s="243"/>
      <c r="P9" s="237"/>
    </row>
    <row r="10" spans="1:16" x14ac:dyDescent="0.2">
      <c r="N10" s="237"/>
      <c r="O10" s="243"/>
      <c r="P10" s="244"/>
    </row>
    <row r="17" spans="16:18" ht="24" customHeight="1" x14ac:dyDescent="0.2">
      <c r="P17" s="263"/>
      <c r="Q17" s="264"/>
      <c r="R17" s="265"/>
    </row>
    <row r="18" spans="16:18" ht="14.25" customHeight="1" x14ac:dyDescent="0.2">
      <c r="Q18" s="239"/>
      <c r="R18" s="241"/>
    </row>
    <row r="19" spans="16:18" x14ac:dyDescent="0.2">
      <c r="Q19" s="239"/>
      <c r="R19" s="241"/>
    </row>
    <row r="20" spans="16:18" x14ac:dyDescent="0.2">
      <c r="Q20" s="240"/>
      <c r="R20" s="241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zoomScale="93" zoomScaleNormal="93" workbookViewId="0">
      <selection activeCell="G9" sqref="G9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9" width="13.7109375" bestFit="1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6" t="s">
        <v>103</v>
      </c>
      <c r="C2" s="266"/>
      <c r="D2" s="266"/>
      <c r="E2" s="266"/>
      <c r="F2" s="266"/>
      <c r="G2" s="266"/>
      <c r="H2" s="266"/>
      <c r="I2" s="266"/>
      <c r="J2" s="14"/>
      <c r="K2" s="14"/>
      <c r="L2" s="14"/>
    </row>
    <row r="3" spans="2:23" ht="24.75" customHeight="1" thickBot="1" x14ac:dyDescent="0.25">
      <c r="B3" s="247" t="s">
        <v>126</v>
      </c>
      <c r="C3" s="248"/>
      <c r="D3" s="248"/>
      <c r="E3" s="248"/>
      <c r="F3" s="248"/>
      <c r="G3" s="248"/>
      <c r="H3" s="248"/>
      <c r="I3" s="249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4" t="s">
        <v>121</v>
      </c>
      <c r="E4" s="223" t="s">
        <v>122</v>
      </c>
      <c r="F4" s="231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6" customFormat="1" ht="24.75" thickBot="1" x14ac:dyDescent="0.25">
      <c r="B5" s="4" t="s">
        <v>31</v>
      </c>
      <c r="C5" s="5">
        <v>3060729352</v>
      </c>
      <c r="D5" s="229">
        <v>0</v>
      </c>
      <c r="E5" s="5">
        <v>0</v>
      </c>
      <c r="F5" s="232">
        <f>C5+D5-E5</f>
        <v>3060729352</v>
      </c>
      <c r="G5" s="5">
        <v>1499012687</v>
      </c>
      <c r="H5" s="5">
        <v>404494551</v>
      </c>
      <c r="I5" s="5">
        <v>350781321</v>
      </c>
      <c r="J5" s="14"/>
      <c r="K5" s="211">
        <f>G5/F5</f>
        <v>0.48975669345624651</v>
      </c>
      <c r="L5" s="211">
        <f>H5/F5</f>
        <v>0.13215626227640398</v>
      </c>
      <c r="M5" s="211">
        <f>I5/F5</f>
        <v>0.11460710198723902</v>
      </c>
      <c r="O5" s="217"/>
      <c r="P5" s="217"/>
    </row>
    <row r="6" spans="2:23" ht="24.75" thickBot="1" x14ac:dyDescent="0.25">
      <c r="B6" s="4" t="s">
        <v>112</v>
      </c>
      <c r="C6" s="5">
        <v>1266158636</v>
      </c>
      <c r="D6" s="5">
        <v>0</v>
      </c>
      <c r="E6" s="5">
        <v>0</v>
      </c>
      <c r="F6" s="232">
        <f>C6+D6-E6</f>
        <v>1266158636</v>
      </c>
      <c r="G6" s="5">
        <v>617709127</v>
      </c>
      <c r="H6" s="5">
        <v>102520816</v>
      </c>
      <c r="I6" s="5">
        <v>49798742</v>
      </c>
      <c r="J6" s="14"/>
      <c r="K6" s="211">
        <f>G6/F6</f>
        <v>0.48786076992014449</v>
      </c>
      <c r="L6" s="211">
        <f>H6/F6</f>
        <v>8.0969961492250164E-2</v>
      </c>
      <c r="M6" s="211">
        <f>I6/F6</f>
        <v>3.9330570896963027E-2</v>
      </c>
      <c r="O6" s="45"/>
    </row>
    <row r="7" spans="2:23" ht="24.75" thickBot="1" x14ac:dyDescent="0.25">
      <c r="B7" s="4" t="s">
        <v>111</v>
      </c>
      <c r="C7" s="5">
        <v>2732020364</v>
      </c>
      <c r="D7" s="5">
        <v>0</v>
      </c>
      <c r="E7" s="5">
        <v>0</v>
      </c>
      <c r="F7" s="232">
        <f>C7+D7-E7</f>
        <v>2732020364</v>
      </c>
      <c r="G7" s="5">
        <v>117526378</v>
      </c>
      <c r="H7" s="5">
        <v>0</v>
      </c>
      <c r="I7" s="5">
        <v>0</v>
      </c>
      <c r="J7" s="14"/>
      <c r="K7" s="211">
        <f>G7/F7</f>
        <v>4.3018119318820713E-2</v>
      </c>
      <c r="L7" s="211">
        <f>H7/F7</f>
        <v>0</v>
      </c>
      <c r="M7" s="211">
        <f>I7/F7</f>
        <v>0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3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11" t="e">
        <f>G8/F8</f>
        <v>#DIV/0!</v>
      </c>
      <c r="L8" s="211" t="e">
        <f>H8/F8</f>
        <v>#DIV/0!</v>
      </c>
      <c r="M8" s="211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4138232398</v>
      </c>
      <c r="D9" s="7">
        <f>'EJE DE FUNCIONAMIENTO E INVERSI'!C6</f>
        <v>0</v>
      </c>
      <c r="E9" s="7">
        <v>0</v>
      </c>
      <c r="F9" s="234">
        <f>'EJE DE FUNCIONAMIENTO E INVERSI'!E6</f>
        <v>4138232398</v>
      </c>
      <c r="G9" s="7">
        <f>'EJE DE FUNCIONAMIENTO E INVERSI'!F6</f>
        <v>0</v>
      </c>
      <c r="H9" s="7">
        <f>'EJE DE FUNCIONAMIENTO E INVERSI'!G6</f>
        <v>0</v>
      </c>
      <c r="I9" s="7">
        <f>'EJE DE FUNCIONAMIENTO E INVERSI'!H6</f>
        <v>0</v>
      </c>
      <c r="J9" s="14"/>
      <c r="K9" s="211">
        <f>G9/F9</f>
        <v>0</v>
      </c>
      <c r="L9" s="211">
        <f>H9/F9</f>
        <v>0</v>
      </c>
      <c r="M9" s="211">
        <f>I9/F9</f>
        <v>0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3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11197140750</v>
      </c>
      <c r="D11" s="9">
        <f>+SUM(D5:D10)</f>
        <v>0</v>
      </c>
      <c r="E11" s="9">
        <f>E5+E6+E7+E8+E9</f>
        <v>0</v>
      </c>
      <c r="F11" s="235">
        <f t="shared" ref="F11" si="4">+SUM(F5:F10)</f>
        <v>11197140750</v>
      </c>
      <c r="G11" s="9">
        <f>+SUM(G5:G10)</f>
        <v>2234248192</v>
      </c>
      <c r="H11" s="9">
        <f>+SUM(H5:H10)</f>
        <v>507015367</v>
      </c>
      <c r="I11" s="9">
        <f>+SUM(I5:I10)</f>
        <v>400580063</v>
      </c>
      <c r="J11" s="14"/>
      <c r="K11" s="181">
        <f>G11/F11</f>
        <v>0.19953738564909976</v>
      </c>
      <c r="L11" s="181">
        <f>H11/F11</f>
        <v>4.5280788937122188E-2</v>
      </c>
      <c r="M11" s="181">
        <f>I11/F11</f>
        <v>3.5775210113349699E-2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7"/>
      <c r="O13" s="267"/>
      <c r="P13" s="267"/>
      <c r="Q13" s="267"/>
      <c r="R13" s="267"/>
      <c r="S13" s="267"/>
      <c r="T13" s="267"/>
      <c r="U13" s="267"/>
      <c r="V13" s="267"/>
      <c r="W13" s="237"/>
    </row>
    <row r="14" spans="2:23" x14ac:dyDescent="0.2">
      <c r="N14" s="237"/>
      <c r="O14" s="237"/>
      <c r="P14" s="237"/>
      <c r="Q14" s="237"/>
      <c r="R14" s="237"/>
      <c r="S14" s="237"/>
      <c r="T14" s="237"/>
      <c r="U14" s="237"/>
      <c r="V14" s="237"/>
      <c r="W14" s="237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68" t="s">
        <v>19</v>
      </c>
      <c r="B2" s="269"/>
      <c r="C2" s="269"/>
      <c r="D2" s="269"/>
    </row>
    <row r="3" spans="1:4" ht="27" customHeight="1" x14ac:dyDescent="0.25">
      <c r="A3" s="269"/>
      <c r="B3" s="269"/>
      <c r="C3" s="269"/>
      <c r="D3" s="269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workbookViewId="0">
      <selection activeCell="E7" sqref="E7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0" t="s">
        <v>127</v>
      </c>
      <c r="B4" s="271"/>
      <c r="C4" s="271"/>
      <c r="D4" s="271"/>
      <c r="E4" s="272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255060779.33000001</v>
      </c>
      <c r="C6" s="30">
        <v>200166806</v>
      </c>
      <c r="D6" s="31">
        <f>+B6/$B$17</f>
        <v>8.3333333332244269E-2</v>
      </c>
      <c r="E6" s="177">
        <f>+C6/$B$17</f>
        <v>6.5398401158600711E-2</v>
      </c>
    </row>
    <row r="7" spans="1:5" x14ac:dyDescent="0.2">
      <c r="A7" s="22" t="s">
        <v>7</v>
      </c>
      <c r="B7" s="19">
        <f>+$B$6*2</f>
        <v>510121558.66000003</v>
      </c>
      <c r="C7" s="19">
        <v>404494551</v>
      </c>
      <c r="D7" s="20">
        <f t="shared" ref="D7:D17" si="0">+B7/$B$17</f>
        <v>0.16666666666448854</v>
      </c>
      <c r="E7" s="179">
        <f t="shared" ref="E7:E17" si="1">+C7/$B$17</f>
        <v>0.13215626227640398</v>
      </c>
    </row>
    <row r="8" spans="1:5" x14ac:dyDescent="0.2">
      <c r="A8" s="22" t="s">
        <v>8</v>
      </c>
      <c r="B8" s="19">
        <f>+$B$6*3</f>
        <v>765182337.99000001</v>
      </c>
      <c r="C8" s="19">
        <v>0</v>
      </c>
      <c r="D8" s="20">
        <f t="shared" si="0"/>
        <v>0.24999999999673281</v>
      </c>
      <c r="E8" s="179">
        <f t="shared" si="1"/>
        <v>0</v>
      </c>
    </row>
    <row r="9" spans="1:5" x14ac:dyDescent="0.2">
      <c r="A9" s="22" t="s">
        <v>9</v>
      </c>
      <c r="B9" s="19">
        <f>+$B$6*4</f>
        <v>1020243117.3200001</v>
      </c>
      <c r="C9" s="19">
        <v>0</v>
      </c>
      <c r="D9" s="20">
        <f t="shared" si="0"/>
        <v>0.33333333332897708</v>
      </c>
      <c r="E9" s="179">
        <f t="shared" si="1"/>
        <v>0</v>
      </c>
    </row>
    <row r="10" spans="1:5" x14ac:dyDescent="0.2">
      <c r="A10" s="22" t="s">
        <v>10</v>
      </c>
      <c r="B10" s="19">
        <f>+$B$6*5</f>
        <v>1275303896.6500001</v>
      </c>
      <c r="C10" s="19">
        <v>0</v>
      </c>
      <c r="D10" s="20">
        <f t="shared" si="0"/>
        <v>0.41666666666122137</v>
      </c>
      <c r="E10" s="179">
        <f t="shared" si="1"/>
        <v>0</v>
      </c>
    </row>
    <row r="11" spans="1:5" x14ac:dyDescent="0.2">
      <c r="A11" s="22" t="s">
        <v>11</v>
      </c>
      <c r="B11" s="19">
        <f>+$B$6*6</f>
        <v>1530364675.98</v>
      </c>
      <c r="C11" s="19">
        <v>0</v>
      </c>
      <c r="D11" s="20">
        <f t="shared" si="0"/>
        <v>0.49999999999346562</v>
      </c>
      <c r="E11" s="179">
        <f t="shared" si="1"/>
        <v>0</v>
      </c>
    </row>
    <row r="12" spans="1:5" x14ac:dyDescent="0.2">
      <c r="A12" s="22" t="s">
        <v>12</v>
      </c>
      <c r="B12" s="19">
        <f>+$B$6*7</f>
        <v>1785425455.3100002</v>
      </c>
      <c r="C12" s="19">
        <v>0</v>
      </c>
      <c r="D12" s="20">
        <f t="shared" si="0"/>
        <v>0.58333333332570991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2040486234.6400001</v>
      </c>
      <c r="C13" s="19">
        <v>0</v>
      </c>
      <c r="D13" s="20">
        <f t="shared" si="0"/>
        <v>0.66666666665795415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2295547013.9700003</v>
      </c>
      <c r="C14" s="19">
        <v>0</v>
      </c>
      <c r="D14" s="20">
        <f t="shared" si="0"/>
        <v>0.74999999999019851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2550607793.3000002</v>
      </c>
      <c r="C15" s="19">
        <v>0</v>
      </c>
      <c r="D15" s="20">
        <f t="shared" si="0"/>
        <v>0.83333333332244275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2805668572.6300001</v>
      </c>
      <c r="C16" s="218">
        <v>0</v>
      </c>
      <c r="D16" s="20">
        <f t="shared" si="0"/>
        <v>0.91666666665468699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+$B$6*12+0.04</f>
        <v>3060729352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8"/>
    </row>
    <row r="19" spans="1:5" x14ac:dyDescent="0.2">
      <c r="B19" s="13"/>
      <c r="C19" s="196"/>
      <c r="D19" s="196"/>
    </row>
    <row r="20" spans="1:5" x14ac:dyDescent="0.2">
      <c r="A20" s="198"/>
      <c r="B20" s="13"/>
    </row>
    <row r="21" spans="1:5" x14ac:dyDescent="0.2">
      <c r="B21" s="13"/>
      <c r="C21" s="196"/>
      <c r="D21" s="197"/>
    </row>
    <row r="22" spans="1:5" x14ac:dyDescent="0.2">
      <c r="B22" s="13"/>
      <c r="D22" s="198"/>
    </row>
    <row r="23" spans="1:5" x14ac:dyDescent="0.2">
      <c r="B23" s="13"/>
      <c r="D23" s="198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C8" sqref="C8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3" t="s">
        <v>128</v>
      </c>
      <c r="B4" s="274"/>
      <c r="C4" s="274"/>
      <c r="D4" s="274"/>
      <c r="E4" s="275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105513219.67</v>
      </c>
      <c r="C6" s="21">
        <v>29615692</v>
      </c>
      <c r="D6" s="20">
        <f>+B6/$B$17</f>
        <v>8.3333333335965973E-2</v>
      </c>
      <c r="E6" s="179">
        <f>+C6/$B$17</f>
        <v>2.3390190737521455E-2</v>
      </c>
    </row>
    <row r="7" spans="1:5" x14ac:dyDescent="0.2">
      <c r="A7" s="22" t="s">
        <v>7</v>
      </c>
      <c r="B7" s="190">
        <f>+$B$6*2</f>
        <v>211026439.34</v>
      </c>
      <c r="C7" s="21">
        <v>102520816</v>
      </c>
      <c r="D7" s="20">
        <f t="shared" ref="D7:D17" si="0">+B7/$B$17</f>
        <v>0.16666666667193195</v>
      </c>
      <c r="E7" s="179">
        <f t="shared" ref="E7:E17" si="1">+C7/$B$17</f>
        <v>8.0969961492250164E-2</v>
      </c>
    </row>
    <row r="8" spans="1:5" x14ac:dyDescent="0.2">
      <c r="A8" s="22" t="s">
        <v>8</v>
      </c>
      <c r="B8" s="190">
        <f>+$B$6*3</f>
        <v>316539659.00999999</v>
      </c>
      <c r="C8" s="21">
        <v>0</v>
      </c>
      <c r="D8" s="20">
        <f t="shared" si="0"/>
        <v>0.2500000000078979</v>
      </c>
      <c r="E8" s="179">
        <f t="shared" si="1"/>
        <v>0</v>
      </c>
    </row>
    <row r="9" spans="1:5" x14ac:dyDescent="0.2">
      <c r="A9" s="22" t="s">
        <v>9</v>
      </c>
      <c r="B9" s="190">
        <f>+$B$6*4</f>
        <v>422052878.68000001</v>
      </c>
      <c r="C9" s="21">
        <v>0</v>
      </c>
      <c r="D9" s="20">
        <f t="shared" si="0"/>
        <v>0.33333333334386389</v>
      </c>
      <c r="E9" s="179">
        <f t="shared" si="1"/>
        <v>0</v>
      </c>
    </row>
    <row r="10" spans="1:5" x14ac:dyDescent="0.2">
      <c r="A10" s="22" t="s">
        <v>10</v>
      </c>
      <c r="B10" s="190">
        <f>+$B$6*5</f>
        <v>527566098.35000002</v>
      </c>
      <c r="C10" s="21">
        <v>0</v>
      </c>
      <c r="D10" s="20">
        <f t="shared" si="0"/>
        <v>0.41666666667982988</v>
      </c>
      <c r="E10" s="179">
        <f t="shared" si="1"/>
        <v>0</v>
      </c>
    </row>
    <row r="11" spans="1:5" x14ac:dyDescent="0.2">
      <c r="A11" s="22" t="s">
        <v>11</v>
      </c>
      <c r="B11" s="190">
        <f>+$B$6*6</f>
        <v>633079318.01999998</v>
      </c>
      <c r="C11" s="21">
        <v>0</v>
      </c>
      <c r="D11" s="20">
        <f t="shared" si="0"/>
        <v>0.50000000001579581</v>
      </c>
      <c r="E11" s="179">
        <f t="shared" si="1"/>
        <v>0</v>
      </c>
    </row>
    <row r="12" spans="1:5" x14ac:dyDescent="0.2">
      <c r="A12" s="22" t="s">
        <v>12</v>
      </c>
      <c r="B12" s="190">
        <f>+$B$6*7</f>
        <v>738592537.69000006</v>
      </c>
      <c r="C12" s="21">
        <v>0</v>
      </c>
      <c r="D12" s="20">
        <f t="shared" si="0"/>
        <v>0.58333333335176185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844105757.36000001</v>
      </c>
      <c r="C13" s="21">
        <v>0</v>
      </c>
      <c r="D13" s="20">
        <f t="shared" si="0"/>
        <v>0.66666666668772778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949618977.02999997</v>
      </c>
      <c r="C14" s="21">
        <v>0</v>
      </c>
      <c r="D14" s="20">
        <f t="shared" si="0"/>
        <v>0.75000000002369371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1055132196.7</v>
      </c>
      <c r="C15" s="21">
        <v>0</v>
      </c>
      <c r="D15" s="20">
        <f t="shared" si="0"/>
        <v>0.83333333335965976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1160645416.3700001</v>
      </c>
      <c r="C16" s="21">
        <v>0</v>
      </c>
      <c r="D16" s="20">
        <f t="shared" si="0"/>
        <v>0.9166666666956258</v>
      </c>
      <c r="E16" s="179">
        <f t="shared" si="1"/>
        <v>0</v>
      </c>
    </row>
    <row r="17" spans="1:5" ht="13.5" thickBot="1" x14ac:dyDescent="0.25">
      <c r="A17" s="39" t="s">
        <v>17</v>
      </c>
      <c r="B17" s="220">
        <f>+$B$6*12-0.04</f>
        <v>1266158636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219"/>
      <c r="D19" s="196"/>
    </row>
    <row r="20" spans="1:5" x14ac:dyDescent="0.2">
      <c r="B20" s="13"/>
      <c r="C20" s="219"/>
    </row>
    <row r="21" spans="1:5" x14ac:dyDescent="0.2">
      <c r="B21" s="13"/>
      <c r="C21" s="196"/>
      <c r="D21" s="197"/>
    </row>
    <row r="22" spans="1:5" x14ac:dyDescent="0.2">
      <c r="B22" s="13"/>
      <c r="D22" s="197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3" t="s">
        <v>33</v>
      </c>
      <c r="B4" s="274"/>
      <c r="C4" s="274"/>
      <c r="D4" s="274"/>
      <c r="E4" s="275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3" t="s">
        <v>34</v>
      </c>
      <c r="B5" s="274"/>
      <c r="C5" s="274"/>
      <c r="D5" s="274"/>
      <c r="E5" s="275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2024-03-01T17:02:29Z</dcterms:modified>
</cp:coreProperties>
</file>