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4\PRESUPUESTO 2024\CONSEJO DIRECTIVO 2024\11-NOVIEMBRE 2024\"/>
    </mc:Choice>
  </mc:AlternateContent>
  <xr:revisionPtr revIDLastSave="0" documentId="13_ncr:1_{34879A9B-EF13-479E-A588-0CBDB4967679}" xr6:coauthVersionLast="36" xr6:coauthVersionMax="36" xr10:uidLastSave="{00000000-0000-0000-0000-000000000000}"/>
  <bookViews>
    <workbookView xWindow="0" yWindow="0" windowWidth="28800" windowHeight="12225" tabRatio="945" activeTab="6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1" l="1"/>
  <c r="F4" i="9"/>
  <c r="B17" i="6"/>
  <c r="B17" i="5"/>
  <c r="I8" i="11" l="1"/>
  <c r="B16" i="6" l="1"/>
  <c r="G7" i="1"/>
  <c r="E8" i="11" l="1"/>
  <c r="B18" i="10"/>
  <c r="F7" i="1" l="1"/>
  <c r="B15" i="5" l="1"/>
  <c r="F7" i="4" l="1"/>
  <c r="F6" i="4"/>
  <c r="F5" i="4"/>
  <c r="E5" i="1" l="1"/>
  <c r="C4" i="16" l="1"/>
  <c r="B7" i="5" l="1"/>
  <c r="B7" i="1" l="1"/>
  <c r="C7" i="1"/>
  <c r="D6" i="16"/>
  <c r="K6" i="11" l="1"/>
  <c r="L6" i="11"/>
  <c r="M6" i="11"/>
  <c r="K7" i="11"/>
  <c r="L7" i="11"/>
  <c r="M7" i="11"/>
  <c r="D6" i="6"/>
  <c r="B10" i="10"/>
  <c r="B17" i="10"/>
  <c r="B16" i="10"/>
  <c r="B15" i="10"/>
  <c r="B9" i="10"/>
  <c r="B8" i="10"/>
  <c r="B11" i="10"/>
  <c r="B12" i="10"/>
  <c r="B13" i="10"/>
  <c r="B14" i="5"/>
  <c r="F5" i="11"/>
  <c r="B12" i="5"/>
  <c r="B13" i="5"/>
  <c r="B16" i="5"/>
  <c r="L5" i="11" l="1"/>
  <c r="F8" i="11"/>
  <c r="M5" i="11"/>
  <c r="K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ADMINFOTEP</author>
    <author>PRESUPUESTO</author>
    <author>CONTABILIDAD</author>
  </authors>
  <commentList>
    <comment ref="H7" authorId="0" shapeId="0" xr:uid="{DF6BD829-A8B7-4ACE-87ED-B53757F9F526}">
      <text>
        <r>
          <rPr>
            <b/>
            <sz val="9"/>
            <color indexed="81"/>
            <rFont val="Tahoma"/>
            <family val="2"/>
          </rPr>
          <t>ADMINFOTEP:</t>
        </r>
        <r>
          <rPr>
            <sz val="9"/>
            <color indexed="81"/>
            <rFont val="Tahoma"/>
            <family val="2"/>
          </rPr>
          <t xml:space="preserve">
VTAS DE SERVICIOS $858.681.425.
PAGOS DE INVERSIÓN: $719.302.694.
RESERVAS DE INVERSIÓN: $210.415.312.
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<sst xmlns="http://schemas.openxmlformats.org/spreadsheetml/2006/main" count="283" uniqueCount="131">
  <si>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</si>
  <si>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</si>
  <si>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</si>
  <si>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</si>
  <si>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</si>
  <si>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</si>
  <si>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</si>
  <si>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</si>
  <si>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</si>
  <si>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</si>
  <si>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</si>
  <si>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</si>
  <si>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</si>
  <si>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</si>
  <si>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</si>
  <si>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</si>
  <si>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</si>
  <si>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</si>
  <si>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</si>
  <si>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</si>
  <si>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</si>
  <si>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</si>
  <si>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</si>
  <si>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</si>
  <si>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</si>
  <si>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</si>
  <si>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</si>
  <si>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</si>
  <si>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</si>
  <si>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</si>
  <si>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</si>
  <si>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</si>
  <si>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</si>
  <si>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</si>
  <si>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</si>
  <si>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</si>
  <si>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</si>
  <si>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</si>
  <si>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</si>
  <si>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</si>
  <si>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</si>
  <si>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</si>
  <si>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</si>
  <si>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</si>
  <si>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</si>
  <si>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</si>
  <si>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</si>
  <si>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</si>
  <si>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</si>
  <si>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</si>
  <si>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</si>
  <si>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</si>
  <si>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</si>
  <si>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</si>
  <si>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</si>
  <si>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</si>
  <si>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</si>
  <si>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</si>
  <si>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</si>
  <si>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</si>
  <si>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</si>
  <si>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</si>
  <si>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</si>
  <si>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</si>
  <si>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</si>
  <si>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</si>
  <si>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</si>
  <si>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</si>
  <si>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</si>
  <si>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</si>
  <si>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</si>
  <si>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</si>
  <si>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</si>
  <si>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</si>
  <si>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</si>
  <si>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</si>
  <si>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</si>
  <si>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</si>
  <si>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</si>
  <si>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</si>
  <si>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</si>
  <si>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</si>
  <si>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</si>
  <si>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</si>
  <si>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</si>
  <si>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</si>
  <si>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</si>
  <si>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</si>
  <si>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</si>
  <si>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</si>
  <si>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</si>
  <si>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</si>
  <si>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</si>
  <si>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</si>
  <si>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</si>
  <si>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</si>
  <si>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</si>
  <si>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</si>
  <si>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</si>
  <si>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</si>
  <si>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</si>
  <si>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</si>
  <si>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</si>
  <si>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</si>
  <si>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</si>
  <si>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</si>
  <si>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</si>
  <si>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</si>
  <si>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</si>
  <si>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</si>
  <si>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</si>
  <si>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</si>
  <si>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</si>
  <si>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</si>
  <si>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</si>
  <si>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</si>
  <si>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</si>
  <si>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</si>
  <si>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Presupuesto Definitivo 2023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</si>
  <si>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</si>
  <si>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</si>
  <si>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</si>
  <si>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</si>
  <si>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EJECUCIÓN PRESUPUESTAL DE INGRESOS RECURSO PROPIOS
ENERO 2024 - DICIEMBRE 31   2024.</t>
  </si>
  <si>
    <t>2. SEGURIDAD HUMANA Y JUSTICIA SOCIAL / K. EDUCACIÓN SUPERIOR COMO UN DERECHO</t>
  </si>
  <si>
    <t>C-2202-0700-8 20203K</t>
  </si>
  <si>
    <t>CON CORTE NOVIEMBRE 30  DE 2024</t>
  </si>
  <si>
    <t>EJECUCIÓN PRESUPUESTAL 
GASTOS DE PERSONAL 
CON CORTE NOVIEMBRE 30  DE 2024</t>
  </si>
  <si>
    <t>EJECUCIÓN PRESUPUESTAL
ADQUISICIÓN BIENES Y SERVICIOS
CON CORTE NOVIEMBRE 30  DE 2024</t>
  </si>
  <si>
    <t>Ejecución Presupuestal - Proyectos de Inversión
CON CORTE NOVIEMBRE 30  DE 2024</t>
  </si>
  <si>
    <t>EJECUCIÓN PRESUPUESTAL 
PROYECTOS DE INVERSIÓN
CON CORTE NOVIEMBRE 30 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</si>
</sst>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1541558544</c:v>
                </c:pt>
                <c:pt idx="1">
                  <c:v>9655582206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0.13767430261158412</c:v>
                </c:pt>
                <c:pt idx="1">
                  <c:v>0.86232569738841591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NOVIEMBRE 30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8.3333333245262015E-2</c:v>
                </c:pt>
                <c:pt idx="1">
                  <c:v>0.16666666649052403</c:v>
                </c:pt>
                <c:pt idx="2">
                  <c:v>0.24999999973578604</c:v>
                </c:pt>
                <c:pt idx="3">
                  <c:v>0.33333333298104806</c:v>
                </c:pt>
                <c:pt idx="4">
                  <c:v>0.41666666622631005</c:v>
                </c:pt>
                <c:pt idx="5">
                  <c:v>0.49999999947157209</c:v>
                </c:pt>
                <c:pt idx="6">
                  <c:v>0.58333333271683407</c:v>
                </c:pt>
                <c:pt idx="7">
                  <c:v>0.66666666596209612</c:v>
                </c:pt>
                <c:pt idx="8">
                  <c:v>0.74999999920735816</c:v>
                </c:pt>
                <c:pt idx="9">
                  <c:v>0.83333333245262009</c:v>
                </c:pt>
                <c:pt idx="10">
                  <c:v>0.91666666569788213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6.3103864772601692E-3</c:v>
                </c:pt>
                <c:pt idx="1">
                  <c:v>2.1844702157358942E-2</c:v>
                </c:pt>
                <c:pt idx="2">
                  <c:v>5.2522210136398823E-2</c:v>
                </c:pt>
                <c:pt idx="3">
                  <c:v>0.10519543666180607</c:v>
                </c:pt>
                <c:pt idx="4">
                  <c:v>0.15764049440449535</c:v>
                </c:pt>
                <c:pt idx="5">
                  <c:v>0.21098067260431455</c:v>
                </c:pt>
                <c:pt idx="6">
                  <c:v>0.27122348927732381</c:v>
                </c:pt>
                <c:pt idx="7">
                  <c:v>0.30416287116737628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NOVIEMBRE 30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391097176</c:v>
                </c:pt>
                <c:pt idx="1">
                  <c:v>782194352</c:v>
                </c:pt>
                <c:pt idx="2">
                  <c:v>1173291528</c:v>
                </c:pt>
                <c:pt idx="3">
                  <c:v>1564388704</c:v>
                </c:pt>
                <c:pt idx="4">
                  <c:v>1955485880</c:v>
                </c:pt>
                <c:pt idx="5">
                  <c:v>2346583056</c:v>
                </c:pt>
                <c:pt idx="6">
                  <c:v>2737680232</c:v>
                </c:pt>
                <c:pt idx="7">
                  <c:v>3128777408</c:v>
                </c:pt>
                <c:pt idx="8">
                  <c:v>3519874584</c:v>
                </c:pt>
                <c:pt idx="9">
                  <c:v>3910971760</c:v>
                </c:pt>
                <c:pt idx="10">
                  <c:v>4302068936</c:v>
                </c:pt>
                <c:pt idx="11">
                  <c:v>4693166116.96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29615692</c:v>
                </c:pt>
                <c:pt idx="1">
                  <c:v>102520816</c:v>
                </c:pt>
                <c:pt idx="2">
                  <c:v>246495457</c:v>
                </c:pt>
                <c:pt idx="3">
                  <c:v>493699659</c:v>
                </c:pt>
                <c:pt idx="4">
                  <c:v>739833027</c:v>
                </c:pt>
                <c:pt idx="5">
                  <c:v>990167344</c:v>
                </c:pt>
                <c:pt idx="6">
                  <c:v>1272896890</c:v>
                </c:pt>
                <c:pt idx="7">
                  <c:v>1427486881</c:v>
                </c:pt>
                <c:pt idx="8">
                  <c:v>1760813824</c:v>
                </c:pt>
                <c:pt idx="9">
                  <c:v>1993796267</c:v>
                </c:pt>
                <c:pt idx="10">
                  <c:v>3502473029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NOVIEMBRE 30  DE 2024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4138232398</c:v>
                </c:pt>
                <c:pt idx="1">
                  <c:v>6274389477</c:v>
                </c:pt>
                <c:pt idx="2">
                  <c:v>1950907061</c:v>
                </c:pt>
                <c:pt idx="3" formatCode="0.00%">
                  <c:v>0.31093177561760088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NOVIEMBRE 30  DE 2024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0.41666666666666669</c:v>
                </c:pt>
                <c:pt idx="5">
                  <c:v>0.5</c:v>
                </c:pt>
                <c:pt idx="6">
                  <c:v>0.58333333333333337</c:v>
                </c:pt>
                <c:pt idx="7">
                  <c:v>0.66666666666666663</c:v>
                </c:pt>
                <c:pt idx="8">
                  <c:v>0.75</c:v>
                </c:pt>
                <c:pt idx="9">
                  <c:v>0.83333333333333337</c:v>
                </c:pt>
                <c:pt idx="10">
                  <c:v>0.91666666666666663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8.7689660126103616E-2</c:v>
                </c:pt>
                <c:pt idx="8">
                  <c:v>0.15343386636559259</c:v>
                </c:pt>
                <c:pt idx="9">
                  <c:v>0.25602014795549477</c:v>
                </c:pt>
                <c:pt idx="10">
                  <c:v>0.31093177546893375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4138232398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3343924151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1950907061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1939507061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NOVIEMBRE 30  DE 2024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0.53294813196691204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0.31093177561760088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0.30911486577453345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160688411</c:v>
                </c:pt>
                <c:pt idx="1">
                  <c:v>7300593599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1.435084318289024E-2</c:v>
                </c:pt>
                <c:pt idx="1">
                  <c:v>0.65200516471135728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Presupuesto Definitivo 2023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  <c:pt idx="3">
                  <c:v>1541558544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160688411</c:v>
                </c:pt>
                <c:pt idx="1">
                  <c:v>0</c:v>
                </c:pt>
                <c:pt idx="2">
                  <c:v>0</c:v>
                </c:pt>
                <c:pt idx="3">
                  <c:v>160688411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0.12294020388713975</c:v>
                </c:pt>
                <c:pt idx="1">
                  <c:v>0</c:v>
                </c:pt>
                <c:pt idx="2">
                  <c:v>0</c:v>
                </c:pt>
                <c:pt idx="3" formatCode="0.00%">
                  <c:v>0.10423763121123475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2023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160688411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0.12294020388713975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NOVIEMBRE 30  DE 2024</a:t>
            </a:r>
            <a:r>
              <a:rPr lang="es-CO" sz="1800" b="1" i="0" u="none" strike="noStrike" baseline="0"/>
              <a:t> 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7058908352</c:v>
                </c:pt>
                <c:pt idx="1">
                  <c:v>4445456603</c:v>
                </c:pt>
                <c:pt idx="2">
                  <c:v>1947019770</c:v>
                </c:pt>
                <c:pt idx="3">
                  <c:v>9557345185</c:v>
                </c:pt>
                <c:pt idx="4">
                  <c:v>7134470838</c:v>
                </c:pt>
                <c:pt idx="5">
                  <c:v>6233202116</c:v>
                </c:pt>
                <c:pt idx="6">
                  <c:v>6031230191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4138232398</c:v>
                </c:pt>
                <c:pt idx="1">
                  <c:v>6274389477</c:v>
                </c:pt>
                <c:pt idx="2">
                  <c:v>4138232398</c:v>
                </c:pt>
                <c:pt idx="3">
                  <c:v>6274389477</c:v>
                </c:pt>
                <c:pt idx="4">
                  <c:v>3343924151</c:v>
                </c:pt>
                <c:pt idx="5">
                  <c:v>1950907061</c:v>
                </c:pt>
                <c:pt idx="6">
                  <c:v>1939507061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NOVIEMBRE 30 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3060729352</c:v>
                </c:pt>
                <c:pt idx="1">
                  <c:v>1366322667</c:v>
                </c:pt>
                <c:pt idx="2">
                  <c:v>399173860</c:v>
                </c:pt>
                <c:pt idx="3">
                  <c:v>4027878159</c:v>
                </c:pt>
                <c:pt idx="4">
                  <c:v>3453926216</c:v>
                </c:pt>
                <c:pt idx="5">
                  <c:v>3327198591</c:v>
                </c:pt>
                <c:pt idx="6">
                  <c:v>3184104981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3427007481</c:v>
                </c:pt>
                <c:pt idx="2">
                  <c:v>0</c:v>
                </c:pt>
                <c:pt idx="3">
                  <c:v>4693166117</c:v>
                </c:pt>
                <c:pt idx="4">
                  <c:v>3502473029</c:v>
                </c:pt>
                <c:pt idx="5">
                  <c:v>2762539327</c:v>
                </c:pt>
                <c:pt idx="6">
                  <c:v>2703661012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2732020364</c:v>
                </c:pt>
                <c:pt idx="1">
                  <c:v>51300315</c:v>
                </c:pt>
                <c:pt idx="2">
                  <c:v>1947019770</c:v>
                </c:pt>
                <c:pt idx="3">
                  <c:v>836300909</c:v>
                </c:pt>
                <c:pt idx="4">
                  <c:v>178071593</c:v>
                </c:pt>
                <c:pt idx="5">
                  <c:v>143464198</c:v>
                </c:pt>
                <c:pt idx="6">
                  <c:v>143464198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4138232398</c:v>
                </c:pt>
                <c:pt idx="1">
                  <c:v>6274389477</c:v>
                </c:pt>
                <c:pt idx="2">
                  <c:v>4138232398</c:v>
                </c:pt>
                <c:pt idx="3">
                  <c:v>6274389477</c:v>
                </c:pt>
                <c:pt idx="4">
                  <c:v>3343924151</c:v>
                </c:pt>
                <c:pt idx="5">
                  <c:v>1950907061</c:v>
                </c:pt>
                <c:pt idx="6">
                  <c:v>1939507061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NOVIEMBRE 30  DE 2024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8.3333333270438348E-2</c:v>
                </c:pt>
                <c:pt idx="1">
                  <c:v>0.1666666665408767</c:v>
                </c:pt>
                <c:pt idx="2">
                  <c:v>0.24999999981131504</c:v>
                </c:pt>
                <c:pt idx="3">
                  <c:v>0.33333333308175339</c:v>
                </c:pt>
                <c:pt idx="4">
                  <c:v>0.41666666635219174</c:v>
                </c:pt>
                <c:pt idx="5">
                  <c:v>0.49999999962263009</c:v>
                </c:pt>
                <c:pt idx="6">
                  <c:v>0.58333333289306843</c:v>
                </c:pt>
                <c:pt idx="7">
                  <c:v>0.66666666616350678</c:v>
                </c:pt>
                <c:pt idx="8">
                  <c:v>0.74999999943394513</c:v>
                </c:pt>
                <c:pt idx="9">
                  <c:v>0.83333333270438348</c:v>
                </c:pt>
                <c:pt idx="10">
                  <c:v>0.91666666597482183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4.9695347797637339E-2</c:v>
                </c:pt>
                <c:pt idx="1">
                  <c:v>0.100423730566966</c:v>
                </c:pt>
                <c:pt idx="2">
                  <c:v>0.14625643198214472</c:v>
                </c:pt>
                <c:pt idx="3">
                  <c:v>0.25247310614836826</c:v>
                </c:pt>
                <c:pt idx="4">
                  <c:v>0.32995968088487593</c:v>
                </c:pt>
                <c:pt idx="5">
                  <c:v>0.41463395963249511</c:v>
                </c:pt>
                <c:pt idx="6">
                  <c:v>0.48395047318526446</c:v>
                </c:pt>
                <c:pt idx="7">
                  <c:v>0.5455233165552611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NOVIEMBRE 30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335656513</c:v>
                </c:pt>
                <c:pt idx="1">
                  <c:v>671313026</c:v>
                </c:pt>
                <c:pt idx="2">
                  <c:v>1006969539</c:v>
                </c:pt>
                <c:pt idx="3">
                  <c:v>1342626052</c:v>
                </c:pt>
                <c:pt idx="4">
                  <c:v>1678282565</c:v>
                </c:pt>
                <c:pt idx="5">
                  <c:v>2013939078</c:v>
                </c:pt>
                <c:pt idx="6">
                  <c:v>2349595591</c:v>
                </c:pt>
                <c:pt idx="7">
                  <c:v>2685252104</c:v>
                </c:pt>
                <c:pt idx="8">
                  <c:v>3020908617</c:v>
                </c:pt>
                <c:pt idx="9">
                  <c:v>3356565130</c:v>
                </c:pt>
                <c:pt idx="10">
                  <c:v>3692221643</c:v>
                </c:pt>
                <c:pt idx="11">
                  <c:v>4027878159.04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200166806</c:v>
                </c:pt>
                <c:pt idx="1">
                  <c:v>404494551</c:v>
                </c:pt>
                <c:pt idx="2">
                  <c:v>589103088</c:v>
                </c:pt>
                <c:pt idx="3">
                  <c:v>1016930910</c:v>
                </c:pt>
                <c:pt idx="4">
                  <c:v>1329037392</c:v>
                </c:pt>
                <c:pt idx="5">
                  <c:v>1670095070</c:v>
                </c:pt>
                <c:pt idx="6">
                  <c:v>1949293541</c:v>
                </c:pt>
                <c:pt idx="7">
                  <c:v>2197301452</c:v>
                </c:pt>
                <c:pt idx="8">
                  <c:v>2562395318</c:v>
                </c:pt>
                <c:pt idx="9">
                  <c:v>2859158129</c:v>
                </c:pt>
                <c:pt idx="10">
                  <c:v>3327198591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8" sqref="H8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3" t="s">
        <v>101</v>
      </c>
      <c r="C3" s="254"/>
      <c r="D3" s="254"/>
      <c r="E3" s="254"/>
      <c r="F3" s="254"/>
      <c r="G3" s="254"/>
      <c r="H3" s="254"/>
      <c r="I3" s="255"/>
    </row>
    <row r="4" spans="2:14" ht="13.5" customHeight="1" thickBot="1" x14ac:dyDescent="0.25">
      <c r="B4" s="250" t="s">
        <v>126</v>
      </c>
      <c r="C4" s="251"/>
      <c r="D4" s="251"/>
      <c r="E4" s="251"/>
      <c r="F4" s="251"/>
      <c r="G4" s="251"/>
      <c r="H4" s="251"/>
      <c r="I4" s="252"/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120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1541558544</v>
      </c>
      <c r="D7" s="222">
        <v>0</v>
      </c>
      <c r="E7" s="223">
        <v>0</v>
      </c>
      <c r="F7" s="142">
        <f>C7+D7-E7</f>
        <v>1541558544</v>
      </c>
      <c r="G7" s="31">
        <f>F7/F10</f>
        <v>0.13767430261158412</v>
      </c>
      <c r="H7" s="234">
        <v>160688411</v>
      </c>
      <c r="I7" s="177">
        <f>H7/F10</f>
        <v>1.435084318289024E-2</v>
      </c>
      <c r="K7" s="163"/>
      <c r="M7" s="154"/>
    </row>
    <row r="8" spans="2:14" ht="13.5" customHeight="1" thickBot="1" x14ac:dyDescent="0.25">
      <c r="B8" s="137" t="s">
        <v>105</v>
      </c>
      <c r="C8" s="143">
        <v>9655582206</v>
      </c>
      <c r="D8" s="203">
        <v>0</v>
      </c>
      <c r="E8" s="223">
        <v>0</v>
      </c>
      <c r="F8" s="142">
        <f>C8+D8-E8</f>
        <v>9655582206</v>
      </c>
      <c r="G8" s="31">
        <f>F8/F10</f>
        <v>0.86232569738841591</v>
      </c>
      <c r="H8" s="189">
        <v>7300593599</v>
      </c>
      <c r="I8" s="179">
        <f>H8/F10</f>
        <v>0.65200516471135728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11197140750</v>
      </c>
      <c r="D10" s="201">
        <f>SUM(D7:D9)</f>
        <v>0</v>
      </c>
      <c r="E10" s="225">
        <f>SUM(E7:E9)</f>
        <v>0</v>
      </c>
      <c r="F10" s="201">
        <f>+F7+F8+F9</f>
        <v>11197140750</v>
      </c>
      <c r="G10" s="149">
        <f>SUM(G7:G9)</f>
        <v>1</v>
      </c>
      <c r="H10" s="148">
        <f>SUM(H7:H9)</f>
        <v>7461282010</v>
      </c>
      <c r="I10" s="178">
        <f>SUM(I7:I9)</f>
        <v>0.66635600789424754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160688411</v>
      </c>
      <c r="D33" s="203"/>
      <c r="E33" s="203"/>
      <c r="F33" s="203"/>
      <c r="G33" s="177">
        <f>C33/C10</f>
        <v>1.435084318289024E-2</v>
      </c>
    </row>
    <row r="34" spans="2:15" ht="13.5" thickBot="1" x14ac:dyDescent="0.25">
      <c r="B34" s="137" t="s">
        <v>93</v>
      </c>
      <c r="C34" s="142">
        <f>+H8</f>
        <v>7300593599</v>
      </c>
      <c r="D34" s="203"/>
      <c r="E34" s="203"/>
      <c r="F34" s="203"/>
      <c r="G34" s="179">
        <f>C34/C10</f>
        <v>0.65200516471135728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7461282010</v>
      </c>
      <c r="D36" s="205"/>
      <c r="E36" s="205"/>
      <c r="F36" s="205"/>
      <c r="G36" s="206">
        <f>SUM(G33:G35)</f>
        <v>0.66635600789424754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H15" sqref="H1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9" t="s">
        <v>129</v>
      </c>
      <c r="C2" s="280"/>
      <c r="D2" s="280"/>
      <c r="E2" s="280"/>
      <c r="F2" s="281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4138232398</v>
      </c>
      <c r="D4" s="53">
        <v>6274389477</v>
      </c>
      <c r="E4" s="53">
        <v>1950907061</v>
      </c>
      <c r="F4" s="186">
        <f>E4/D4</f>
        <v>0.31093177561760088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D21" sqref="D21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6" t="s">
        <v>130</v>
      </c>
      <c r="B5" s="277"/>
      <c r="C5" s="277"/>
      <c r="D5" s="277"/>
      <c r="E5" s="278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522865790</v>
      </c>
      <c r="C7" s="47">
        <v>0</v>
      </c>
      <c r="D7" s="48">
        <f>+B7/$B$18</f>
        <v>8.3333333333333329E-2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1045731580</v>
      </c>
      <c r="C8" s="47">
        <v>0</v>
      </c>
      <c r="D8" s="48">
        <f>+B8/$B$18</f>
        <v>0.16666666666666666</v>
      </c>
      <c r="E8" s="187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1568597370</v>
      </c>
      <c r="C9" s="47">
        <v>0</v>
      </c>
      <c r="D9" s="48">
        <f t="shared" si="0"/>
        <v>0.25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2091463160</v>
      </c>
      <c r="C10" s="47">
        <v>0</v>
      </c>
      <c r="D10" s="48">
        <f t="shared" si="0"/>
        <v>0.33333333333333331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2614328950</v>
      </c>
      <c r="C11" s="47">
        <v>0</v>
      </c>
      <c r="D11" s="48">
        <f t="shared" si="0"/>
        <v>0.41666666666666669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3137194740</v>
      </c>
      <c r="C12" s="47">
        <v>0</v>
      </c>
      <c r="D12" s="48">
        <f t="shared" si="0"/>
        <v>0.5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3660060530</v>
      </c>
      <c r="C13" s="47">
        <v>0</v>
      </c>
      <c r="D13" s="48">
        <f t="shared" si="0"/>
        <v>0.58333333333333337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4182926320</v>
      </c>
      <c r="C14" s="47">
        <v>550199081</v>
      </c>
      <c r="D14" s="48">
        <f t="shared" si="0"/>
        <v>0.66666666666666663</v>
      </c>
      <c r="E14" s="187">
        <f t="shared" si="0"/>
        <v>8.7689660126103616E-2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4705792110</v>
      </c>
      <c r="C15" s="47">
        <v>962703837</v>
      </c>
      <c r="D15" s="48">
        <f>+B15/$B$18</f>
        <v>0.75</v>
      </c>
      <c r="E15" s="187">
        <f t="shared" si="0"/>
        <v>0.15343386636559259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5228657900</v>
      </c>
      <c r="C16" s="47">
        <v>1606370123</v>
      </c>
      <c r="D16" s="48">
        <f>+B16/$B$18</f>
        <v>0.83333333333333337</v>
      </c>
      <c r="E16" s="187">
        <f>+C16/$B$18</f>
        <v>0.25602014795549477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5751523690</v>
      </c>
      <c r="C17" s="47">
        <v>1950907061</v>
      </c>
      <c r="D17" s="48">
        <f>+B17/$B$18</f>
        <v>0.91666666666666663</v>
      </c>
      <c r="E17" s="187">
        <f t="shared" si="0"/>
        <v>0.31093177546893375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</f>
        <v>6274389480</v>
      </c>
      <c r="C18" s="219">
        <v>0</v>
      </c>
      <c r="D18" s="56">
        <f>+B18/$B$18</f>
        <v>1</v>
      </c>
      <c r="E18" s="220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zoomScale="95" zoomScaleNormal="95" workbookViewId="0">
      <selection activeCell="O12" sqref="O12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2" t="s">
        <v>42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spans="2:13" ht="26.25" customHeight="1" thickBot="1" x14ac:dyDescent="0.25">
      <c r="B3" s="249"/>
      <c r="C3" s="283" t="s">
        <v>126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125</v>
      </c>
      <c r="C5" s="248" t="s">
        <v>124</v>
      </c>
      <c r="D5" s="150">
        <v>4138232398</v>
      </c>
      <c r="E5" s="150">
        <f>6274389477-D5</f>
        <v>2136157079</v>
      </c>
      <c r="F5" s="150">
        <f>D5+E5</f>
        <v>6274389477</v>
      </c>
      <c r="G5" s="40">
        <v>3343924151</v>
      </c>
      <c r="H5" s="40">
        <v>1950907061</v>
      </c>
      <c r="I5" s="40">
        <v>1939507061</v>
      </c>
      <c r="J5" s="156">
        <v>1</v>
      </c>
      <c r="K5" s="156">
        <f>G5/F5</f>
        <v>0.53294813196691204</v>
      </c>
      <c r="L5" s="157">
        <f>H5/F5</f>
        <v>0.31093177561760088</v>
      </c>
      <c r="M5" s="157">
        <f>I5/F5</f>
        <v>0.30911486577453345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4138232398</v>
      </c>
      <c r="E8" s="150">
        <f>SUM(E5)</f>
        <v>2136157079</v>
      </c>
      <c r="F8" s="150">
        <f>SUM(F5:F7)</f>
        <v>6274389477</v>
      </c>
      <c r="G8" s="150">
        <f>+SUM(G5:G7)</f>
        <v>3343924151</v>
      </c>
      <c r="H8" s="175">
        <f>+SUM(H5:H7)</f>
        <v>1950907061</v>
      </c>
      <c r="I8" s="175">
        <f>+SUM(I5:I7)</f>
        <v>1939507061</v>
      </c>
      <c r="J8" s="158">
        <v>1</v>
      </c>
      <c r="K8" s="156">
        <f>G8/F8</f>
        <v>0.53294813196691204</v>
      </c>
      <c r="L8" s="157">
        <f>H8/F8</f>
        <v>0.31093177561760088</v>
      </c>
      <c r="M8" s="157">
        <f>I8/F8</f>
        <v>0.30911486577453345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5" t="s">
        <v>60</v>
      </c>
      <c r="B16" s="286"/>
      <c r="C16" s="286"/>
      <c r="D16" s="286"/>
      <c r="E16" s="286"/>
      <c r="F16" s="287"/>
    </row>
    <row r="17" spans="1:6" ht="25.5" customHeight="1" thickBot="1" x14ac:dyDescent="0.25">
      <c r="A17" s="288"/>
      <c r="B17" s="289"/>
      <c r="C17" s="289"/>
      <c r="D17" s="289"/>
      <c r="E17" s="289"/>
      <c r="F17" s="29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1" t="str">
        <f>+A16</f>
        <v>EJECUCIÓN PRESUPUESTAL
RESERVAS PRESUPUESTALES
A AGOSTO 31 DE 2015</v>
      </c>
      <c r="B31" s="292"/>
      <c r="C31" s="292"/>
      <c r="D31" s="292"/>
      <c r="E31" s="29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6" t="s">
        <v>88</v>
      </c>
      <c r="B2" s="257"/>
      <c r="C2" s="257"/>
      <c r="D2" s="257"/>
      <c r="E2" s="257"/>
      <c r="F2" s="257"/>
      <c r="G2" s="258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4" t="s">
        <v>65</v>
      </c>
      <c r="B19" s="295"/>
      <c r="C19" s="29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9" t="s">
        <v>65</v>
      </c>
      <c r="B28" s="297"/>
      <c r="C28" s="297"/>
      <c r="D28" s="260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C14" sqref="C1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6" t="s">
        <v>123</v>
      </c>
      <c r="B2" s="257"/>
      <c r="C2" s="257"/>
      <c r="D2" s="258"/>
    </row>
    <row r="3" spans="1:6" s="113" customFormat="1" ht="39" thickBot="1" x14ac:dyDescent="0.25">
      <c r="A3" s="110" t="s">
        <v>106</v>
      </c>
      <c r="B3" s="111" t="s">
        <v>118</v>
      </c>
      <c r="C3" s="112" t="s">
        <v>119</v>
      </c>
      <c r="D3" s="111" t="s">
        <v>107</v>
      </c>
    </row>
    <row r="4" spans="1:6" ht="13.5" thickBot="1" x14ac:dyDescent="0.25">
      <c r="A4" s="114" t="s">
        <v>75</v>
      </c>
      <c r="B4" s="193">
        <v>1307045262</v>
      </c>
      <c r="C4" s="159">
        <f>'EJE INGRESOS'!H7</f>
        <v>160688411</v>
      </c>
      <c r="D4" s="160">
        <f>C4/B4</f>
        <v>0.12294020388713975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234513282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1541558544</v>
      </c>
      <c r="C7" s="169">
        <f>SUM(C4:C6)</f>
        <v>160688411</v>
      </c>
      <c r="D7" s="184">
        <f>C7/B7</f>
        <v>0.10423763121123475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9" t="s">
        <v>108</v>
      </c>
      <c r="B10" s="260"/>
      <c r="C10" s="171"/>
    </row>
    <row r="11" spans="1:6" ht="12.75" customHeight="1" x14ac:dyDescent="0.2">
      <c r="A11" s="125" t="s">
        <v>66</v>
      </c>
      <c r="B11" s="161">
        <v>2024</v>
      </c>
      <c r="C11" s="172"/>
    </row>
    <row r="12" spans="1:6" x14ac:dyDescent="0.2">
      <c r="A12" s="99" t="s">
        <v>69</v>
      </c>
      <c r="B12" s="101">
        <f>B7</f>
        <v>1541558544</v>
      </c>
      <c r="C12" s="173"/>
    </row>
    <row r="13" spans="1:6" x14ac:dyDescent="0.2">
      <c r="A13" s="162" t="s">
        <v>109</v>
      </c>
      <c r="B13" s="101">
        <f>C7</f>
        <v>160688411</v>
      </c>
      <c r="C13" s="173"/>
    </row>
    <row r="14" spans="1:6" ht="13.5" thickBot="1" x14ac:dyDescent="0.25">
      <c r="A14" s="102" t="s">
        <v>71</v>
      </c>
      <c r="B14" s="185">
        <f>+B13/B12</f>
        <v>0.10423763121123475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workbookViewId="0">
      <selection activeCell="F7" sqref="F7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1" t="s">
        <v>104</v>
      </c>
      <c r="B2" s="262"/>
      <c r="C2" s="262"/>
      <c r="D2" s="262"/>
      <c r="E2" s="262"/>
      <c r="F2" s="262"/>
      <c r="G2" s="262"/>
      <c r="H2" s="263"/>
      <c r="I2" s="14"/>
      <c r="J2" s="264" t="s">
        <v>102</v>
      </c>
      <c r="K2" s="264"/>
      <c r="L2" s="264"/>
    </row>
    <row r="3" spans="1:16" ht="13.5" customHeight="1" thickBot="1" x14ac:dyDescent="0.25">
      <c r="A3" s="250" t="s">
        <v>126</v>
      </c>
      <c r="B3" s="251"/>
      <c r="C3" s="251"/>
      <c r="D3" s="251"/>
      <c r="E3" s="251"/>
      <c r="F3" s="251"/>
      <c r="G3" s="251"/>
      <c r="H3" s="252"/>
      <c r="I3" s="14"/>
      <c r="J3" s="265"/>
      <c r="K3" s="265"/>
      <c r="L3" s="265"/>
    </row>
    <row r="4" spans="1:16" ht="93.75" customHeight="1" thickBot="1" x14ac:dyDescent="0.25">
      <c r="A4" s="1" t="s">
        <v>20</v>
      </c>
      <c r="B4" s="2" t="s">
        <v>113</v>
      </c>
      <c r="C4" s="213" t="s">
        <v>121</v>
      </c>
      <c r="D4" s="244" t="s">
        <v>122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7058908352</v>
      </c>
      <c r="C5" s="5">
        <v>4445456603</v>
      </c>
      <c r="D5" s="5">
        <v>1947019770</v>
      </c>
      <c r="E5" s="231">
        <f>B5+C5-D5</f>
        <v>9557345185</v>
      </c>
      <c r="F5" s="5">
        <v>7134470838</v>
      </c>
      <c r="G5" s="5">
        <v>6233202116</v>
      </c>
      <c r="H5" s="5">
        <v>6031230191</v>
      </c>
      <c r="J5" s="209">
        <f>F5/E5</f>
        <v>0.74649086120666264</v>
      </c>
      <c r="K5" s="210">
        <f>G5/E5</f>
        <v>0.65218970282488542</v>
      </c>
      <c r="L5" s="211">
        <f>H5/E5</f>
        <v>0.63105706388693128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4138232398</v>
      </c>
      <c r="C6" s="7">
        <v>6274389477</v>
      </c>
      <c r="D6" s="7">
        <v>4138232398</v>
      </c>
      <c r="E6" s="231">
        <f>B6+C6-D6</f>
        <v>6274389477</v>
      </c>
      <c r="F6" s="7">
        <v>3343924151</v>
      </c>
      <c r="G6" s="228">
        <v>1950907061</v>
      </c>
      <c r="H6" s="7">
        <v>1939507061</v>
      </c>
      <c r="J6" s="209">
        <f>F6/E6</f>
        <v>0.53294813196691204</v>
      </c>
      <c r="K6" s="210">
        <f>G6/E6</f>
        <v>0.31093177561760088</v>
      </c>
      <c r="L6" s="211">
        <f>H6/E6</f>
        <v>0.30911486577453345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11197140750</v>
      </c>
      <c r="C7" s="198">
        <f>+SUM(C5:C6)</f>
        <v>10719846080</v>
      </c>
      <c r="D7" s="226">
        <f>D5+D6</f>
        <v>6085252168</v>
      </c>
      <c r="E7" s="245">
        <f>SUM(E5:E6)</f>
        <v>15831734662</v>
      </c>
      <c r="F7" s="199">
        <f>+SUM(F5:F6)</f>
        <v>10478394989</v>
      </c>
      <c r="G7" s="199">
        <f>+SUM(G5:G6)</f>
        <v>8184109177</v>
      </c>
      <c r="H7" s="9">
        <f>+SUM(H5:H6)</f>
        <v>7970737252</v>
      </c>
      <c r="J7" s="181">
        <f>F7/E7</f>
        <v>0.66186019490022707</v>
      </c>
      <c r="K7" s="182">
        <f>G7/B7</f>
        <v>0.73091062796544737</v>
      </c>
      <c r="L7" s="183">
        <f>H7/E7</f>
        <v>0.50346581863399342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6"/>
      <c r="Q17" s="267"/>
      <c r="R17" s="268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topLeftCell="B1" zoomScale="93" zoomScaleNormal="93" workbookViewId="0">
      <selection activeCell="I11" sqref="I11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9" width="13.7109375" bestFit="1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9" t="s">
        <v>103</v>
      </c>
      <c r="C2" s="269"/>
      <c r="D2" s="269"/>
      <c r="E2" s="269"/>
      <c r="F2" s="269"/>
      <c r="G2" s="269"/>
      <c r="H2" s="269"/>
      <c r="I2" s="269"/>
      <c r="J2" s="14"/>
      <c r="K2" s="14"/>
      <c r="L2" s="14"/>
    </row>
    <row r="3" spans="2:23" ht="24.75" customHeight="1" thickBot="1" x14ac:dyDescent="0.25">
      <c r="B3" s="250" t="s">
        <v>126</v>
      </c>
      <c r="C3" s="251"/>
      <c r="D3" s="251"/>
      <c r="E3" s="251"/>
      <c r="F3" s="251"/>
      <c r="G3" s="251"/>
      <c r="H3" s="251"/>
      <c r="I3" s="252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121</v>
      </c>
      <c r="E4" s="244" t="s">
        <v>122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3060729352</v>
      </c>
      <c r="D5" s="227">
        <v>1366322667</v>
      </c>
      <c r="E5" s="5">
        <v>399173860</v>
      </c>
      <c r="F5" s="230">
        <f>C5+D5-E5</f>
        <v>4027878159</v>
      </c>
      <c r="G5" s="5">
        <v>3453926216</v>
      </c>
      <c r="H5" s="5">
        <v>3327198591</v>
      </c>
      <c r="I5" s="5">
        <v>3184104981</v>
      </c>
      <c r="J5" s="14"/>
      <c r="K5" s="209">
        <f>G5/F5</f>
        <v>0.85750513785588423</v>
      </c>
      <c r="L5" s="209">
        <f>H5/F5</f>
        <v>0.82604251163000486</v>
      </c>
      <c r="M5" s="209">
        <f>I5/F5</f>
        <v>0.79051670763311188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3427007481</v>
      </c>
      <c r="E6" s="5">
        <v>0</v>
      </c>
      <c r="F6" s="230">
        <f>C6+D6-E6</f>
        <v>4693166117</v>
      </c>
      <c r="G6" s="5">
        <v>3502473029</v>
      </c>
      <c r="H6" s="5">
        <v>2762539327</v>
      </c>
      <c r="I6" s="5">
        <v>2703661012</v>
      </c>
      <c r="J6" s="14"/>
      <c r="K6" s="209">
        <f>G6/F6</f>
        <v>0.74629214941125421</v>
      </c>
      <c r="L6" s="209">
        <f>H6/F6</f>
        <v>0.58863020360461704</v>
      </c>
      <c r="M6" s="209">
        <f>I6/F6</f>
        <v>0.57608466110043721</v>
      </c>
      <c r="O6" s="45"/>
    </row>
    <row r="7" spans="2:23" ht="24.75" thickBot="1" x14ac:dyDescent="0.25">
      <c r="B7" s="4" t="s">
        <v>111</v>
      </c>
      <c r="C7" s="5">
        <v>2732020364</v>
      </c>
      <c r="D7" s="5">
        <v>51300315</v>
      </c>
      <c r="E7" s="5">
        <v>1947019770</v>
      </c>
      <c r="F7" s="230">
        <f>C7+D7-E7</f>
        <v>836300909</v>
      </c>
      <c r="G7" s="5">
        <v>178071593</v>
      </c>
      <c r="H7" s="5">
        <v>143464198</v>
      </c>
      <c r="I7" s="5">
        <v>143464198</v>
      </c>
      <c r="J7" s="14"/>
      <c r="K7" s="209">
        <f>G7/F7</f>
        <v>0.212927656880019</v>
      </c>
      <c r="L7" s="209">
        <f>H7/F7</f>
        <v>0.1715461461970024</v>
      </c>
      <c r="M7" s="209">
        <f>I7/F7</f>
        <v>0.1715461461970024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4138232398</v>
      </c>
      <c r="D9" s="7">
        <f>'EJE DE FUNCIONAMIENTO E INVERSI'!C6</f>
        <v>6274389477</v>
      </c>
      <c r="E9" s="7">
        <v>4138232398</v>
      </c>
      <c r="F9" s="232">
        <f>'EJE DE FUNCIONAMIENTO E INVERSI'!E6</f>
        <v>6274389477</v>
      </c>
      <c r="G9" s="7">
        <f>'EJE DE FUNCIONAMIENTO E INVERSI'!F6</f>
        <v>3343924151</v>
      </c>
      <c r="H9" s="7">
        <f>'EJE DE FUNCIONAMIENTO E INVERSI'!G6</f>
        <v>1950907061</v>
      </c>
      <c r="I9" s="7">
        <f>'EJE DE FUNCIONAMIENTO E INVERSI'!H6</f>
        <v>1939507061</v>
      </c>
      <c r="J9" s="14"/>
      <c r="K9" s="209">
        <f>G9/F9</f>
        <v>0.53294813196691204</v>
      </c>
      <c r="L9" s="209">
        <f>H9/F9</f>
        <v>0.31093177561760088</v>
      </c>
      <c r="M9" s="209">
        <f>I9/F9</f>
        <v>0.30911486577453345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11197140750</v>
      </c>
      <c r="D11" s="9">
        <f>+SUM(D5:D10)</f>
        <v>11119019940</v>
      </c>
      <c r="E11" s="9">
        <f>E5+E6+E7+E8+E9</f>
        <v>6484426028</v>
      </c>
      <c r="F11" s="233">
        <f t="shared" ref="F11" si="4">+SUM(F5:F10)</f>
        <v>15831734662</v>
      </c>
      <c r="G11" s="9">
        <f>+SUM(G5:G10)</f>
        <v>10478394989</v>
      </c>
      <c r="H11" s="9">
        <f>+SUM(H5:H10)</f>
        <v>8184109177</v>
      </c>
      <c r="I11" s="9">
        <f>+SUM(I5:I10)</f>
        <v>7970737252</v>
      </c>
      <c r="J11" s="14"/>
      <c r="K11" s="181">
        <f>G11/F11</f>
        <v>0.66186019490022707</v>
      </c>
      <c r="L11" s="181">
        <f>H11/F11</f>
        <v>0.51694330101702912</v>
      </c>
      <c r="M11" s="181">
        <f>I11/F11</f>
        <v>0.50346581863399342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0"/>
      <c r="P13" s="270"/>
      <c r="Q13" s="270"/>
      <c r="R13" s="270"/>
      <c r="S13" s="270"/>
      <c r="T13" s="270"/>
      <c r="U13" s="270"/>
      <c r="V13" s="270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1" t="s">
        <v>19</v>
      </c>
      <c r="B2" s="272"/>
      <c r="C2" s="272"/>
      <c r="D2" s="272"/>
    </row>
    <row r="3" spans="1:4" ht="27" customHeight="1" x14ac:dyDescent="0.25">
      <c r="A3" s="272"/>
      <c r="B3" s="272"/>
      <c r="C3" s="272"/>
      <c r="D3" s="272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tabSelected="1" topLeftCell="A4" workbookViewId="0">
      <selection activeCell="B20" sqref="B20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3" t="s">
        <v>127</v>
      </c>
      <c r="B4" s="274"/>
      <c r="C4" s="274"/>
      <c r="D4" s="274"/>
      <c r="E4" s="275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335656513</v>
      </c>
      <c r="C6" s="30">
        <v>200166806</v>
      </c>
      <c r="D6" s="31">
        <f>+B6/$B$17</f>
        <v>8.3333333270438348E-2</v>
      </c>
      <c r="E6" s="177">
        <f>+C6/$B$17</f>
        <v>4.9695347797637339E-2</v>
      </c>
    </row>
    <row r="7" spans="1:5" x14ac:dyDescent="0.2">
      <c r="A7" s="22" t="s">
        <v>7</v>
      </c>
      <c r="B7" s="19">
        <f>+$B$6*2</f>
        <v>671313026</v>
      </c>
      <c r="C7" s="19">
        <v>404494551</v>
      </c>
      <c r="D7" s="20">
        <f t="shared" ref="D7:D17" si="0">+B7/$B$17</f>
        <v>0.1666666665408767</v>
      </c>
      <c r="E7" s="179">
        <f t="shared" ref="E7:E17" si="1">+C7/$B$17</f>
        <v>0.100423730566966</v>
      </c>
    </row>
    <row r="8" spans="1:5" x14ac:dyDescent="0.2">
      <c r="A8" s="22" t="s">
        <v>8</v>
      </c>
      <c r="B8" s="19">
        <f>+$B$6*3</f>
        <v>1006969539</v>
      </c>
      <c r="C8" s="19">
        <v>589103088</v>
      </c>
      <c r="D8" s="20">
        <f t="shared" si="0"/>
        <v>0.24999999981131504</v>
      </c>
      <c r="E8" s="179">
        <f t="shared" si="1"/>
        <v>0.14625643198214472</v>
      </c>
    </row>
    <row r="9" spans="1:5" x14ac:dyDescent="0.2">
      <c r="A9" s="22" t="s">
        <v>9</v>
      </c>
      <c r="B9" s="19">
        <f>+$B$6*4</f>
        <v>1342626052</v>
      </c>
      <c r="C9" s="19">
        <v>1016930910</v>
      </c>
      <c r="D9" s="20">
        <f t="shared" si="0"/>
        <v>0.33333333308175339</v>
      </c>
      <c r="E9" s="179">
        <f t="shared" si="1"/>
        <v>0.25247310614836826</v>
      </c>
    </row>
    <row r="10" spans="1:5" x14ac:dyDescent="0.2">
      <c r="A10" s="22" t="s">
        <v>10</v>
      </c>
      <c r="B10" s="19">
        <f>+$B$6*5</f>
        <v>1678282565</v>
      </c>
      <c r="C10" s="19">
        <v>1329037392</v>
      </c>
      <c r="D10" s="20">
        <f t="shared" si="0"/>
        <v>0.41666666635219174</v>
      </c>
      <c r="E10" s="179">
        <f t="shared" si="1"/>
        <v>0.32995968088487593</v>
      </c>
    </row>
    <row r="11" spans="1:5" x14ac:dyDescent="0.2">
      <c r="A11" s="22" t="s">
        <v>11</v>
      </c>
      <c r="B11" s="19">
        <f>+$B$6*6</f>
        <v>2013939078</v>
      </c>
      <c r="C11" s="19">
        <v>1670095070</v>
      </c>
      <c r="D11" s="20">
        <f t="shared" si="0"/>
        <v>0.49999999962263009</v>
      </c>
      <c r="E11" s="179">
        <f t="shared" si="1"/>
        <v>0.41463395963249511</v>
      </c>
    </row>
    <row r="12" spans="1:5" x14ac:dyDescent="0.2">
      <c r="A12" s="22" t="s">
        <v>12</v>
      </c>
      <c r="B12" s="19">
        <f>+$B$6*7</f>
        <v>2349595591</v>
      </c>
      <c r="C12" s="19">
        <v>1949293541</v>
      </c>
      <c r="D12" s="20">
        <f t="shared" si="0"/>
        <v>0.58333333289306843</v>
      </c>
      <c r="E12" s="179">
        <f t="shared" si="1"/>
        <v>0.48395047318526446</v>
      </c>
    </row>
    <row r="13" spans="1:5" x14ac:dyDescent="0.2">
      <c r="A13" s="22" t="s">
        <v>13</v>
      </c>
      <c r="B13" s="19">
        <f>+$B$6*8</f>
        <v>2685252104</v>
      </c>
      <c r="C13" s="19">
        <v>2197301452</v>
      </c>
      <c r="D13" s="20">
        <f t="shared" si="0"/>
        <v>0.66666666616350678</v>
      </c>
      <c r="E13" s="179">
        <f t="shared" si="1"/>
        <v>0.5455233165552611</v>
      </c>
    </row>
    <row r="14" spans="1:5" x14ac:dyDescent="0.2">
      <c r="A14" s="22" t="s">
        <v>14</v>
      </c>
      <c r="B14" s="19">
        <f>+$B$6*9</f>
        <v>3020908617</v>
      </c>
      <c r="C14" s="19">
        <v>2562395318</v>
      </c>
      <c r="D14" s="20">
        <f t="shared" si="0"/>
        <v>0.74999999943394513</v>
      </c>
      <c r="E14" s="179">
        <f t="shared" si="1"/>
        <v>0.63616505187702066</v>
      </c>
    </row>
    <row r="15" spans="1:5" x14ac:dyDescent="0.2">
      <c r="A15" s="22" t="s">
        <v>15</v>
      </c>
      <c r="B15" s="19">
        <f>+$B$6*10</f>
        <v>3356565130</v>
      </c>
      <c r="C15" s="19">
        <v>2859158129</v>
      </c>
      <c r="D15" s="20">
        <f t="shared" si="0"/>
        <v>0.83333333270438348</v>
      </c>
      <c r="E15" s="179">
        <f t="shared" si="1"/>
        <v>0.70984225840670623</v>
      </c>
    </row>
    <row r="16" spans="1:5" x14ac:dyDescent="0.2">
      <c r="A16" s="22" t="s">
        <v>16</v>
      </c>
      <c r="B16" s="19">
        <f>+$B$6*11</f>
        <v>3692221643</v>
      </c>
      <c r="C16" s="216">
        <v>3327198591</v>
      </c>
      <c r="D16" s="20">
        <f t="shared" si="0"/>
        <v>0.91666666597482183</v>
      </c>
      <c r="E16" s="179">
        <f t="shared" si="1"/>
        <v>0.82604251162180165</v>
      </c>
    </row>
    <row r="17" spans="1:5" ht="13.5" thickBot="1" x14ac:dyDescent="0.25">
      <c r="A17" s="24" t="s">
        <v>17</v>
      </c>
      <c r="B17" s="25">
        <f>+$B$6*12+0.04+3</f>
        <v>4027878159.04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C17" sqref="C17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6" t="s">
        <v>128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391097176</v>
      </c>
      <c r="C6" s="21">
        <v>29615692</v>
      </c>
      <c r="D6" s="20">
        <f>+B6/$B$17</f>
        <v>8.3333333245262015E-2</v>
      </c>
      <c r="E6" s="179">
        <f>+C6/$B$17</f>
        <v>6.3103864772601692E-3</v>
      </c>
    </row>
    <row r="7" spans="1:5" x14ac:dyDescent="0.2">
      <c r="A7" s="22" t="s">
        <v>7</v>
      </c>
      <c r="B7" s="190">
        <f>+$B$6*2</f>
        <v>782194352</v>
      </c>
      <c r="C7" s="21">
        <v>102520816</v>
      </c>
      <c r="D7" s="20">
        <f t="shared" ref="D7:D17" si="0">+B7/$B$17</f>
        <v>0.16666666649052403</v>
      </c>
      <c r="E7" s="179">
        <f t="shared" ref="E7:E17" si="1">+C7/$B$17</f>
        <v>2.1844702157358942E-2</v>
      </c>
    </row>
    <row r="8" spans="1:5" x14ac:dyDescent="0.2">
      <c r="A8" s="22" t="s">
        <v>8</v>
      </c>
      <c r="B8" s="190">
        <f>+$B$6*3</f>
        <v>1173291528</v>
      </c>
      <c r="C8" s="21">
        <v>246495457</v>
      </c>
      <c r="D8" s="20">
        <f t="shared" si="0"/>
        <v>0.24999999973578604</v>
      </c>
      <c r="E8" s="179">
        <f t="shared" si="1"/>
        <v>5.2522210136398823E-2</v>
      </c>
    </row>
    <row r="9" spans="1:5" x14ac:dyDescent="0.2">
      <c r="A9" s="22" t="s">
        <v>9</v>
      </c>
      <c r="B9" s="190">
        <f>+$B$6*4</f>
        <v>1564388704</v>
      </c>
      <c r="C9" s="21">
        <v>493699659</v>
      </c>
      <c r="D9" s="20">
        <f t="shared" si="0"/>
        <v>0.33333333298104806</v>
      </c>
      <c r="E9" s="179">
        <f t="shared" si="1"/>
        <v>0.10519543666180607</v>
      </c>
    </row>
    <row r="10" spans="1:5" x14ac:dyDescent="0.2">
      <c r="A10" s="22" t="s">
        <v>10</v>
      </c>
      <c r="B10" s="190">
        <f>+$B$6*5</f>
        <v>1955485880</v>
      </c>
      <c r="C10" s="21">
        <v>739833027</v>
      </c>
      <c r="D10" s="20">
        <f t="shared" si="0"/>
        <v>0.41666666622631005</v>
      </c>
      <c r="E10" s="179">
        <f t="shared" si="1"/>
        <v>0.15764049440449535</v>
      </c>
    </row>
    <row r="11" spans="1:5" x14ac:dyDescent="0.2">
      <c r="A11" s="22" t="s">
        <v>11</v>
      </c>
      <c r="B11" s="190">
        <f>+$B$6*6</f>
        <v>2346583056</v>
      </c>
      <c r="C11" s="21">
        <v>990167344</v>
      </c>
      <c r="D11" s="20">
        <f t="shared" si="0"/>
        <v>0.49999999947157209</v>
      </c>
      <c r="E11" s="179">
        <f t="shared" si="1"/>
        <v>0.21098067260431455</v>
      </c>
    </row>
    <row r="12" spans="1:5" x14ac:dyDescent="0.2">
      <c r="A12" s="22" t="s">
        <v>12</v>
      </c>
      <c r="B12" s="190">
        <f>+$B$6*7</f>
        <v>2737680232</v>
      </c>
      <c r="C12" s="21">
        <v>1272896890</v>
      </c>
      <c r="D12" s="20">
        <f t="shared" si="0"/>
        <v>0.58333333271683407</v>
      </c>
      <c r="E12" s="179">
        <f t="shared" si="1"/>
        <v>0.27122348927732381</v>
      </c>
    </row>
    <row r="13" spans="1:5" x14ac:dyDescent="0.2">
      <c r="A13" s="22" t="s">
        <v>13</v>
      </c>
      <c r="B13" s="190">
        <f>+$B$6*8</f>
        <v>3128777408</v>
      </c>
      <c r="C13" s="21">
        <v>1427486881</v>
      </c>
      <c r="D13" s="20">
        <f t="shared" si="0"/>
        <v>0.66666666596209612</v>
      </c>
      <c r="E13" s="179">
        <f t="shared" si="1"/>
        <v>0.30416287116737628</v>
      </c>
    </row>
    <row r="14" spans="1:5" x14ac:dyDescent="0.2">
      <c r="A14" s="22" t="s">
        <v>14</v>
      </c>
      <c r="B14" s="190">
        <f>+$B$6*9</f>
        <v>3519874584</v>
      </c>
      <c r="C14" s="21">
        <v>1760813824</v>
      </c>
      <c r="D14" s="20">
        <f t="shared" si="0"/>
        <v>0.74999999920735816</v>
      </c>
      <c r="E14" s="179">
        <f t="shared" si="1"/>
        <v>0.37518676733747658</v>
      </c>
    </row>
    <row r="15" spans="1:5" x14ac:dyDescent="0.2">
      <c r="A15" s="38" t="s">
        <v>15</v>
      </c>
      <c r="B15" s="190">
        <f>+$B$6*10</f>
        <v>3910971760</v>
      </c>
      <c r="C15" s="21">
        <v>1993796267</v>
      </c>
      <c r="D15" s="20">
        <f t="shared" si="0"/>
        <v>0.83333333245262009</v>
      </c>
      <c r="E15" s="179">
        <f t="shared" si="1"/>
        <v>0.42482968156505019</v>
      </c>
    </row>
    <row r="16" spans="1:5" x14ac:dyDescent="0.2">
      <c r="A16" s="38" t="s">
        <v>16</v>
      </c>
      <c r="B16" s="190">
        <f>+$B$6*11</f>
        <v>4302068936</v>
      </c>
      <c r="C16" s="21">
        <v>3502473029</v>
      </c>
      <c r="D16" s="20">
        <f t="shared" si="0"/>
        <v>0.91666666569788213</v>
      </c>
      <c r="E16" s="179">
        <f t="shared" si="1"/>
        <v>0.7462921494176149</v>
      </c>
    </row>
    <row r="17" spans="1:5" ht="13.5" thickBot="1" x14ac:dyDescent="0.25">
      <c r="A17" s="39" t="s">
        <v>17</v>
      </c>
      <c r="B17" s="218">
        <f>+$B$6*12-0.04+5</f>
        <v>4693166116.96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6" t="s">
        <v>33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6" t="s">
        <v>34</v>
      </c>
      <c r="B5" s="277"/>
      <c r="C5" s="277"/>
      <c r="D5" s="277"/>
      <c r="E5" s="278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2024-12-11T13:47:13Z</dcterms:modified>
</cp:coreProperties>
</file>