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ldavis\Documents\PLANEACION 2023-2027\PLAN ACCIÓN INSTITUCIONAL 2023-2027\PLAN DE ACCIÓN INSTITUCIONAL 2025\SEGUIMIENTO PLAN DE ACCIÓN 2025\"/>
    </mc:Choice>
  </mc:AlternateContent>
  <xr:revisionPtr revIDLastSave="0" documentId="13_ncr:1_{20E47B5C-123F-4DCF-B0F6-E81E2C2B7D96}" xr6:coauthVersionLast="36" xr6:coauthVersionMax="47" xr10:uidLastSave="{00000000-0000-0000-0000-000000000000}"/>
  <bookViews>
    <workbookView xWindow="0" yWindow="0" windowWidth="28800" windowHeight="12105" activeTab="1" xr2:uid="{00000000-000D-0000-FFFF-FFFF00000000}"/>
  </bookViews>
  <sheets>
    <sheet name="MISIONAL" sheetId="1" r:id="rId1"/>
    <sheet name="INSTITUCIONAL" sheetId="2" r:id="rId2"/>
    <sheet name="Control de cambio"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9" i="2" l="1"/>
  <c r="M38" i="2"/>
  <c r="M36" i="2"/>
  <c r="M35" i="2"/>
  <c r="L51" i="1"/>
  <c r="L50" i="1"/>
  <c r="S26" i="2" l="1"/>
  <c r="S20" i="2"/>
  <c r="S18" i="2"/>
  <c r="R40" i="1"/>
  <c r="R39" i="1"/>
  <c r="R35" i="1"/>
  <c r="R34" i="1"/>
  <c r="R33" i="1"/>
  <c r="R32" i="1"/>
  <c r="R31" i="1"/>
  <c r="J18" i="1" l="1"/>
  <c r="K18" i="1"/>
  <c r="I18" i="1"/>
  <c r="M28" i="2"/>
  <c r="L27" i="1" l="1"/>
  <c r="L36" i="1"/>
  <c r="L35" i="1"/>
  <c r="L34" i="1"/>
  <c r="L33" i="1"/>
  <c r="L32" i="1"/>
  <c r="L31" i="1"/>
  <c r="L44" i="1"/>
  <c r="M30" i="2"/>
  <c r="L18" i="1"/>
  <c r="K34" i="1" l="1"/>
  <c r="L12" i="2"/>
  <c r="M31" i="2" l="1"/>
  <c r="M9" i="2"/>
  <c r="L30" i="1" l="1"/>
  <c r="L16" i="1"/>
  <c r="L25" i="1" l="1"/>
  <c r="L24" i="1"/>
  <c r="M26" i="2"/>
  <c r="L17" i="2"/>
  <c r="L20" i="2"/>
  <c r="M20" i="2" s="1"/>
  <c r="L27" i="2"/>
  <c r="L28" i="2"/>
  <c r="K35" i="1" l="1"/>
  <c r="I35" i="1"/>
  <c r="I33" i="1" l="1"/>
  <c r="J33" i="1"/>
  <c r="K33" i="1"/>
  <c r="K32" i="1" l="1"/>
  <c r="J32" i="1"/>
  <c r="I32" i="1"/>
  <c r="K31" i="1" l="1"/>
  <c r="J31" i="1"/>
  <c r="I31" i="1"/>
  <c r="L33" i="2" l="1"/>
  <c r="L40" i="1"/>
  <c r="K40" i="1"/>
  <c r="L39" i="1"/>
  <c r="J39" i="1"/>
  <c r="K39" i="1"/>
  <c r="K10" i="1"/>
  <c r="L28" i="1" l="1"/>
  <c r="L18" i="2"/>
  <c r="M18" i="2" s="1"/>
  <c r="K18" i="2"/>
  <c r="J18" i="2"/>
  <c r="K33" i="2"/>
  <c r="M33" i="2" s="1"/>
  <c r="J33" i="2"/>
  <c r="K28" i="2"/>
  <c r="J28" i="2"/>
  <c r="J27" i="2"/>
  <c r="K26" i="2"/>
  <c r="J26" i="2"/>
  <c r="K20" i="2"/>
  <c r="J20" i="2"/>
  <c r="K17" i="2"/>
  <c r="K12" i="2"/>
  <c r="K11" i="2"/>
  <c r="M11" i="2" s="1"/>
  <c r="J11" i="2"/>
  <c r="K24" i="1" l="1"/>
  <c r="K22" i="1"/>
  <c r="K21" i="1"/>
  <c r="K19" i="1"/>
  <c r="J49" i="1"/>
  <c r="J40" i="1"/>
  <c r="I40" i="1"/>
  <c r="I39" i="1"/>
  <c r="J35" i="1"/>
  <c r="J34" i="1"/>
  <c r="I34" i="1"/>
  <c r="J21" i="1"/>
  <c r="J19" i="1"/>
  <c r="I19" i="1"/>
  <c r="H46" i="1" l="1"/>
  <c r="H45" i="1"/>
  <c r="G36" i="1"/>
  <c r="G21" i="1"/>
  <c r="G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Estudiante25</author>
  </authors>
  <commentList>
    <comment ref="D25" authorId="0" shapeId="0" xr:uid="{00000000-0006-0000-0000-000001000000}">
      <text>
        <r>
          <rPr>
            <b/>
            <sz val="9"/>
            <color rgb="FF000000"/>
            <rFont val="Tahoma"/>
            <family val="2"/>
          </rPr>
          <t>Estudiante25:</t>
        </r>
        <r>
          <rPr>
            <sz val="9"/>
            <color rgb="FF000000"/>
            <rFont val="Tahoma"/>
            <family val="2"/>
          </rPr>
          <t xml:space="preserve">
</t>
        </r>
        <r>
          <rPr>
            <sz val="9"/>
            <color rgb="FF000000"/>
            <rFont val="Tahoma"/>
            <family val="2"/>
          </rPr>
          <t xml:space="preserve">En el corto Plazo de manera interna - diseñar una politica defina la ruta </t>
        </r>
      </text>
    </comment>
    <comment ref="D26" authorId="0" shapeId="0" xr:uid="{00000000-0006-0000-0000-000002000000}">
      <text>
        <r>
          <rPr>
            <b/>
            <i/>
            <sz val="14"/>
            <color rgb="FFFF0000"/>
            <rFont val="Tahoma"/>
            <family val="2"/>
          </rPr>
          <t xml:space="preserve">Estudiante25:
</t>
        </r>
        <r>
          <rPr>
            <b/>
            <i/>
            <sz val="14"/>
            <color rgb="FFFF0000"/>
            <rFont val="Tahoma"/>
            <family val="2"/>
          </rPr>
          <t xml:space="preserve">trabajado  con Julieth </t>
        </r>
      </text>
    </comment>
    <comment ref="E39" authorId="0" shapeId="0" xr:uid="{00000000-0006-0000-0000-000003000000}">
      <text>
        <r>
          <rPr>
            <sz val="12"/>
            <color rgb="FF006100"/>
            <rFont val="Aptos Narrow"/>
            <family val="2"/>
          </rPr>
          <t>Estudiante25:</t>
        </r>
        <r>
          <rPr>
            <sz val="12"/>
            <color rgb="FF9C0006"/>
            <rFont val="Aptos Narrow"/>
            <family val="2"/>
          </rPr>
          <t xml:space="preserve">
</t>
        </r>
        <r>
          <rPr>
            <sz val="12"/>
            <color rgb="FF9C5700"/>
            <rFont val="Aptos Narrow"/>
            <family val="2"/>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<sst xmlns="http://schemas.openxmlformats.org/spreadsheetml/2006/main" count="458" uniqueCount="367">
  <si>
    <t>LÍNEAS TEMÁTICAS</t>
  </si>
  <si>
    <t>DESCRIPCIÓN</t>
  </si>
  <si>
    <t>OBJETIVOS ESTRATEGICOS</t>
  </si>
  <si>
    <t>ACCIONES DEL PLAN</t>
  </si>
  <si>
    <t>INDICADORES</t>
  </si>
  <si>
    <t>FÓRMULA DEL INDICADOR</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</si>
  <si>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</si>
  <si>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</si>
  <si>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</si>
  <si>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</si>
  <si>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</si>
  <si>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</si>
  <si>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</si>
  <si>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</si>
  <si>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</si>
  <si>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</si>
  <si>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</si>
  <si>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</si>
  <si>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</si>
  <si>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</si>
  <si>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</si>
  <si>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</si>
  <si>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</si>
  <si>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</si>
  <si>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</si>
  <si>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</si>
  <si>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</si>
  <si>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</si>
  <si>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</si>
  <si>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</si>
  <si>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</si>
  <si>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</si>
  <si>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</si>
  <si>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</si>
  <si>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</si>
  <si>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</si>
  <si>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</si>
  <si>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</si>
  <si>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</si>
  <si>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</si>
  <si>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</si>
  <si>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</si>
  <si>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</si>
  <si>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</si>
  <si>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</si>
  <si>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</si>
  <si>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</si>
  <si>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</si>
  <si>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</si>
  <si>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</si>
  <si>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</si>
  <si>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</si>
  <si>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</si>
  <si>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</si>
  <si>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</si>
  <si>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</si>
  <si>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</si>
  <si>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</si>
  <si>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</si>
  <si>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</si>
  <si>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</si>
  <si>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</si>
  <si>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</si>
  <si>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</si>
  <si>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</si>
  <si>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</si>
  <si>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</si>
  <si>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</si>
  <si>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</si>
  <si>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</si>
  <si>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</si>
  <si>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</si>
  <si>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</si>
  <si>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</si>
  <si>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</si>
  <si>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</si>
  <si>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</si>
  <si>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</si>
  <si>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</si>
  <si>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</si>
  <si>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</si>
  <si>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</si>
  <si>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</si>
  <si>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</si>
  <si>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</si>
  <si>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</si>
  <si>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</si>
  <si>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</si>
  <si>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</si>
  <si>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</si>
  <si>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</si>
  <si>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</si>
  <si>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</si>
  <si>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</si>
  <si>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</si>
  <si>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</si>
  <si>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</si>
  <si>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</si>
  <si>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</si>
  <si>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</si>
  <si>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</si>
  <si>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</si>
  <si>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</si>
  <si>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</si>
  <si>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</si>
  <si>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</si>
  <si>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</si>
  <si>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</si>
  <si>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</si>
  <si>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</si>
  <si>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</si>
  <si>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</si>
  <si>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</si>
  <si>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</si>
  <si>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</si>
  <si>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</si>
  <si>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</si>
  <si>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</si>
  <si>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</si>
  <si>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</si>
  <si>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</si>
  <si>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</si>
  <si>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Fomentar el uso de las capacidades instaladas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</si>
  <si>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</si>
  <si>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</si>
  <si>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</si>
  <si>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</si>
  <si>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</si>
  <si>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</si>
  <si>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</si>
  <si>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</si>
  <si>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</si>
  <si>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</si>
  <si>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</si>
  <si>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</si>
  <si>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</si>
  <si>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</si>
  <si>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</si>
  <si>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</si>
  <si>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</si>
  <si>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</si>
  <si>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</si>
  <si>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</si>
  <si>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</si>
  <si>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</si>
  <si>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</si>
  <si>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</si>
  <si>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</si>
  <si>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</si>
  <si>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</si>
  <si>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</si>
  <si>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</si>
  <si>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FUNCIONAMIENTO</t>
  </si>
  <si>
    <t>INVERSIÓN</t>
  </si>
  <si>
    <t>NACIÓN</t>
  </si>
  <si>
    <t>PROPIOS</t>
  </si>
  <si>
    <t>LÍNEA BASE</t>
  </si>
  <si>
    <t>META 2025</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</si>
  <si>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</si>
  <si>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</si>
  <si>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</si>
  <si>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</si>
  <si>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</si>
  <si>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</si>
  <si>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</si>
  <si>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</si>
  <si>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</si>
  <si>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</si>
  <si>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</si>
  <si>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</si>
  <si>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</si>
  <si>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</si>
  <si>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</si>
  <si>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</si>
  <si>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</si>
  <si>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</si>
  <si>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</si>
  <si>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</si>
  <si>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</si>
  <si>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</si>
  <si>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</si>
  <si>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</si>
  <si>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</si>
  <si>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</si>
  <si>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</si>
  <si>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</si>
  <si>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</si>
  <si>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</si>
  <si>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</si>
  <si>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</si>
  <si>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</si>
  <si>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</si>
  <si>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</si>
  <si>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</si>
  <si>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</si>
  <si>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</si>
  <si>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</si>
  <si>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</si>
  <si>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</si>
  <si>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</si>
  <si>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</si>
  <si>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</si>
  <si>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</si>
  <si>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</si>
  <si>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</si>
  <si>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</si>
  <si>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</si>
  <si>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</si>
  <si>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</si>
  <si>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</si>
  <si>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</si>
  <si>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</si>
  <si>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</si>
  <si>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</si>
  <si>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</si>
  <si>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</si>
  <si>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</si>
  <si>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</si>
  <si>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</si>
  <si>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</si>
  <si>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</si>
  <si>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</si>
  <si>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</si>
  <si>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</si>
  <si>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</si>
  <si>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</si>
  <si>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</si>
  <si>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</si>
  <si>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</si>
  <si>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</si>
  <si>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</si>
  <si>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</si>
  <si>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</si>
  <si>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</si>
  <si>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</si>
  <si>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</si>
  <si>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</si>
  <si>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</si>
  <si>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</si>
  <si>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</si>
  <si>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</si>
  <si>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</si>
  <si>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</si>
  <si>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</si>
  <si>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</si>
  <si>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</si>
  <si>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</si>
  <si>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</si>
  <si>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</si>
  <si>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</si>
  <si>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</si>
  <si>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</si>
  <si>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</si>
  <si>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</si>
  <si>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</si>
  <si>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</si>
  <si>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</si>
  <si>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</si>
  <si>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</si>
  <si>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</si>
  <si>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</si>
  <si>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</si>
  <si>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PLAN DE ACCIÓN 2025: COMPONENTE GESTIÓN MISIONAL 
INSTITUTO NACIONAL DE FORMACIÓN TÉCNICA PROFESIONAL DE SAN ANDRÉS Y PROVIDENCIA - INFOTEP SAI</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</si>
  <si>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</si>
  <si>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</si>
  <si>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</si>
  <si>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</si>
  <si>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</si>
  <si>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</si>
  <si>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</si>
  <si>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</si>
  <si>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</si>
  <si>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</si>
  <si>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Institucional de Comunicaciones</t>
  </si>
  <si>
    <t>Gestión Documental</t>
  </si>
  <si>
    <t>Participación ciudadana, Racionalización de Trámites</t>
  </si>
  <si>
    <t>PLAN DE ACCIÓN 2025: COMPONENTE GESTIÓN MISIONAL 
 INSTITUTO NACIONAL DE FORMACIÓN TÉCNICA PROFESIONAL DE SAN ANDRÉS Y PROVIDENCIA - INFOTEP SAI</t>
  </si>
  <si>
    <t>PLAN DE ACCIÓN 2025 "INFOTEP SE TRANSFORMA"
PROYECCIÓN DE METAS</t>
  </si>
  <si>
    <t>Control de cambios</t>
  </si>
  <si>
    <t>Versión</t>
  </si>
  <si>
    <t>Fecha de entrada en vigencia</t>
  </si>
  <si>
    <t>Naturaleza del cambio</t>
  </si>
  <si>
    <t>Se elimina la palabra diseñar y se deja implementar, dado a que en la vigencia 2024 se cumplio con el diseño del documento.</t>
  </si>
  <si>
    <t xml:space="preserve"> Implementar el plan estrategico para la sostenibilidad del laboratorio de innovación.</t>
  </si>
  <si>
    <t>Aumentar el número de proyectos de investigación  financiados con fuentes internas</t>
  </si>
  <si>
    <t>Proyectos de investigación financiados de fuentes internas</t>
  </si>
  <si>
    <t>Número de Proyectos de investigación financiados de fuentes internas /Proyectos de investigación formulados</t>
  </si>
  <si>
    <t>Aumentar el número de proyectos formulados, postulados y en ejecución financiados con fuentes externas.</t>
  </si>
  <si>
    <t>Proyectos de investigación formulados y en ejecución financiados de fuentes externas</t>
  </si>
  <si>
    <t>Número de Proyectos de investigación formulados y en ejecución de fuentes externas /Proyectos de investigación formulados</t>
  </si>
  <si>
    <t>TOTAL</t>
  </si>
  <si>
    <t>PROYECCIÓN DE LA EJECUCIÓN DE LA META TRIMESTRALMENTE</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</si>
  <si>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</si>
  <si>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</si>
  <si>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</si>
  <si>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</si>
  <si>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</si>
  <si>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</si>
  <si>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</si>
  <si>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TRIM II</t>
  </si>
  <si>
    <t>TRIM III</t>
  </si>
  <si>
    <t xml:space="preserve">es abrio curso nuevo con 25 personas de creole basico, todos externos a la institucion </t>
  </si>
  <si>
    <t xml:space="preserve">Se realiza la semana de la emancipacion </t>
  </si>
  <si>
    <t>Hay un contrato en ejecucion en el que se han hecho actividades, se divide en actividades y entregables. Este contrato cuenta con 9 actividades de las cuales se han desarrollado 4 de estas. 1 de pesca, 1 de gagricultura, 1 de pesca, 1 de rondas de danza</t>
  </si>
  <si>
    <t>En este trimestre no se realizan nuevos contratos</t>
  </si>
  <si>
    <t>obs t2</t>
  </si>
  <si>
    <t xml:space="preserve">Se completa la realizacion de las actividades pendientes, el total de estas fueron 11 adicionales. Se cargan las evidencias al drive </t>
  </si>
  <si>
    <t>se tienen modelos para ser adaptados sin embargo, no se realizan avances con el plan</t>
  </si>
  <si>
    <t>Firma de dos convenios marco de cooperacion, con la U tecnologica del peru y con la U politecnica estatal del carchi en el ecuador</t>
  </si>
  <si>
    <t>Se participó en la feria de servicios tu bienestar tambien es parte del trabajo" brindando la informacion a toda la comunidad sobre la oferta de programas institucionales 25 de julio. Se desarrolló el piloto del proyecto croele play lab durante los dias 24 al 26 de septiembre en la ludoteca.</t>
  </si>
  <si>
    <t>Se impartió el modulo "crea, emprende y crece" a 33 estudiantes de diferentes programas el cual pretende aumentar la conciencia sobre el emprendimiento, hace parte del diplomado liderazgo integral. La segunda, vinieron emprendedores a dar charla a los estudiantes.</t>
  </si>
  <si>
    <t>Se espera aun la respuesta por parte del ministerios, ya se subsano por parte de la institucion lo requerido por el MEN a los 3 programas, 2 (atencion integral a la primera infancia, profesional en primera infancia, administrado de deportes, de los programas ya pasaron a siguiente instancia de revision. El tercer programa el se espera nuevos resultados de revision por parte del MEN.</t>
  </si>
  <si>
    <t>La gobernacion deptal no ha firmado los convenios pertinentes por lo cual no se pueden adoptar estas estrategias de transito a educacion superior.</t>
  </si>
  <si>
    <t>Se recibe la respuesta de completitud por parte del MEN la cual se dara contestacion para el 4to trimestre del año.</t>
  </si>
  <si>
    <t>Se suman los estudiantes de san andres (640) + providencia (26)</t>
  </si>
  <si>
    <t>Se debe hacer una revision al programa de sistemas ya que este fue el primero en implementar en la institucion, pero se prevé para el 4to trimestre</t>
  </si>
  <si>
    <t>Se tienen 7 posgrados para presentar, pero se estan realizando gestiones previas a esto para poder consolidar efectivamente los posgrados en la institucion</t>
  </si>
  <si>
    <t>Ya esta en adecuacion el lab de innovacion</t>
  </si>
  <si>
    <r>
      <rPr>
        <sz val="10"/>
        <rFont val="Book Antiqua"/>
        <family val="1"/>
      </rPr>
      <t>Diseñar</t>
    </r>
    <r>
      <rPr>
        <sz val="10"/>
        <color theme="1"/>
        <rFont val="Book Antiqua"/>
        <family val="1"/>
      </rPr>
      <t xml:space="preserve"> e implementar el programa de salud, hábitos y estilos de vida saludable.</t>
    </r>
  </si>
  <si>
    <t>Se realizó concurso para el diseno del prototipo oficial del laboratorio.</t>
  </si>
  <si>
    <t>Se continuó con la ejecucion del proyecto de energias fotovoltaicas.</t>
  </si>
  <si>
    <t>Se realizo seguimiento a la asignacion del proyecto ONDAS ante minciencias y oficios para minciencias. Para el otro proyecto de fuentes externas, se raliza contrato de suminstro de elementos para la ejecucion de modelos de negocios verdes en el marco de proyectos de gestion de riesgo.</t>
  </si>
  <si>
    <t>Se postularon 2 articulos de investigacion en revista en categoria B para su publicacion, se desarrollaron planes individuales estraetigcos de investigacion para profesores, se generaron lineamientos para la realizacion de pasantias de investigacion, nacionales e internacionales. se ajusto el reglamento de propiedad intelectual, se crea el repositorio de proyectos relacionados con innovacion. Se articula la informacion publicable a traves de boletines de investigacion como estrategia de comunicacion. Se participa en espacios de ciecnia, tecnologia e investigacion, como la comision regional de competitividad (CRCI), y la mesa de ciencia tecnologia e investigacion agropecuaria, se realiza la renovacion de redes de conocimiento con avanciencia y la vinculacion a la red del fin. Se participó en el vigesimo octavo encuentro nacional y el decimo segundo encuentro internacional de semilleros de investigacion 2025 con 7 proyectos de semillero de investigacion. Se realizaron reuniones de trabajo para la reestructuracion de lineas de investigacion institucionales y de grupo de investigacion.</t>
  </si>
  <si>
    <t xml:space="preserve">1. En el proceso de adquision se realizo el tramite pertinente pero no se consolido el proyecto por incumplimiento de requisitos de empresas oferentes por lo que se debe realizar la convocatoria nuevamente. 3. se realizo el cronograma para visitas de seguimiento y se elaboro un formato para estas visitas que fue parametrizado por sistema integrado de gestion y se elaboro cronograma y se dio cumplimiento a las visitas de seguimiento. 4. se elaboro el modelo de gestion documental y administracion de archivos. 5. se actualizaron los instrumentos de ley de transparencia, informacion clasificada y reservada y esquema de publicacion de informacion </t>
  </si>
  <si>
    <t>Durante este periodo se desarrollaron cuatro actividades orientadas a fortalecer el bienestar integral de la comunidad. Se conmemoró el Día Internacional del Autocuidado, promoviendo prácticas saludables y la importancia del bienestar personal. Se realizó una jornada de salud en Providencia, llevando atención y orientación en temas prioritarios a la población local. En la Feria de Bienestar se ofrecieron valoraciones y educación en salud visual y auditiva, fomentando la detección temprana. Finalmente, se conmemoró el Día del Alzheimer, generando sensibilización sobre esta condición, sus cuidados y la importancia del acompañamiento familiar. Estas acciones contribuyeron a mejorar la salud y el conocimiento preventivo de la comunidad.</t>
  </si>
  <si>
    <t>falta presentar a consejo para poder implementar, ya esta disenada</t>
  </si>
  <si>
    <t>Para el tercer trimestre del ano se cumple con el proposito de las explicacioines de uso adecuado y aprovechamiento de recursos TIC</t>
  </si>
  <si>
    <t>Se siguen trabajando en las acciones encaminadas para cumplir con el plan sin embargo no se evidencian acciones aplicadas</t>
  </si>
  <si>
    <t>AVANCE CUALITATIVO: Capacitación Higiene postural _ Mantenimiento anual de extintores _ Seguimiento a la ejecución de las reuniones programadas del COPASST _ Desarrollo de actividades de medicina del trabajo (Evaluaciones medicas ocupacionales: Exámenes de Laboratorios, examen de optometría, espirometría, foniátrico y valoración énfasis osteomuscular) _ Socialización PGIRS _ Socialización sobre la correcta separación de residuos solidos en la fuente _ Conformación COPASST periodo 2025-2027 _ Capacitación miembros COPASST funciones y responsabilidades _  Actividades tardes de merienda saludable _ Pausas activas _  Registro estadístico de accidente de trabajo _ Conformación Brigadas de emergencia 2025-2027 _ Revisión Manual del Sistema de Gestión de la Seguridad y Salud en el Trabajo SG-SST _ Inducción al SG-SST a funcionarios nuevos _ Taller de Higiene Postural _ Socialización de instructivos de reporte de enfermedad laboral y de notificación de accidente de trabajo _ Dotación e instalación de camillas de emergencia, botiquines de primeros auxilios y de planos de evacuación existentes _ Inspección de botiquines de primeros auxilios y camilla _ Inspección de extintores _ Entrega de EPP a funcionaria de archivo central</t>
  </si>
  <si>
    <t>el 0% refleja la gestion de la entidad en cuanto a las acciones para mantener una adecuada defensa juridica.</t>
  </si>
  <si>
    <t xml:space="preserve">se realiza capacitacion mesa de trabajo con la contraloria en la ciudad de bogota sobre procedimiento contable para el reconocmineto  y revelacion de los excedentes financieros, una capacitacion de regulacion contable publica en bogota en centro social de agentes y patrulleros, la otra accion capacitacion virtual de propiedad planta y equipo </t>
  </si>
  <si>
    <t>no hay informe a la fecha, no lo ha generado el minsterio</t>
  </si>
  <si>
    <t xml:space="preserve">Para el tercer trimestre se realizan acciones encaminadas a la discapacidad psicosocial y conceptos inclusivos de violencia basado en genero </t>
  </si>
  <si>
    <t>Para el tercer trimestre se evidencia incremento de recursos en mas de 600 millones de pesos</t>
  </si>
  <si>
    <t xml:space="preserve">Para el tercer trimestre se abre link para actualizacion de datos de los egresados, se complementan los datos con la organizacion en el software adviser. Ademas, se suministran impermeables para los egresados como otra de las actividades de </t>
  </si>
  <si>
    <t>De estas 4 convenios 3 convenios marcos con la universidad tenologica de peru, carchi de ecuador y la institucion teconolgica transversari y con la universidad de cordoba argentina. Y el nacional se realizo con la distrital en bogota</t>
  </si>
  <si>
    <t>El programa aun no se lleva a consejo</t>
  </si>
  <si>
    <t>de estas fueron, evento de lengua, etni ay cultura, evento de la reunion del nodo nacional de internacionalizacion, evento de la reunion del nodo caribe</t>
  </si>
  <si>
    <t>se tienen los soportes de ordenes de tiquetes</t>
  </si>
  <si>
    <t>se esta en el proceso con la U de trinidad y tobago pero se sigue en conversaciones</t>
  </si>
  <si>
    <t>No se realizan acciones en el periodo</t>
  </si>
  <si>
    <t>Se cambia el menu interno de canal de atencion y servicios a la ciudadania, banners, creacion de caja de herramientas y creacion interactiva con la ciudadania</t>
  </si>
  <si>
    <t xml:space="preserve">para el tercer trimestre se agregaron acciones a realizar para el SIAC, de las 9 anteriores se le agregaron 7 nuevas acciones para las 2 lineas que se debian realizar desde el segundo trimestre. todo esto esta encaminado a realizar Agosto taller de resignificaion de la politica de calidad, se construyeron propuestas para la vision tecnica y estrategica del sistema, articulando estudiantes y administrativos. </t>
  </si>
  <si>
    <t xml:space="preserve">en septiembre se realiza una actividad de clase de musica </t>
  </si>
  <si>
    <t>Rectoria: Planeación + lideres de proceso</t>
  </si>
  <si>
    <t>Vicerrectoría Administrativa y financiera AVELINO MEZA</t>
  </si>
  <si>
    <t>Vicerrectoria Académica: Jamina Henry + Janelle Forbes</t>
  </si>
  <si>
    <t>Vicerrectoría Administrativa y financiera: Jefe de talento Humano- Jaime Jimenez + Andres Meza</t>
  </si>
  <si>
    <t>Vicerrectoría Administrativa y financiera: Jefe de Talento Humano + Líder de SST- Jaime Jimenez + Jhinezhka Davis</t>
  </si>
  <si>
    <t>Vicerrectoría Administrativa y financiera: Jefe de Talento Humano + Vicerrectoria Académica</t>
  </si>
  <si>
    <t>Vicerrectoría Administrativa y financiera - Avelino  Meza</t>
  </si>
  <si>
    <t>Vicerrectoría Administrativa y financiera: Sistemas y Tecnología Jeiner Lora</t>
  </si>
  <si>
    <t>Vicerrectoría Administrativa y financiera - Avelino Meza</t>
  </si>
  <si>
    <t>Rectoria: Planeación + Comunicaciones-Lynne Davis+ Mike Evans</t>
  </si>
  <si>
    <t>Vicerrectoría Administrativa y financiera: Gestión Documental Zoraida Vanegas</t>
  </si>
  <si>
    <t>Vicerrectoría Administrativa y financiera: Coordinadora de calidad  Janelle Forbes</t>
  </si>
  <si>
    <t>Vicerrectoría Académica - Jamina  Hernry</t>
  </si>
  <si>
    <t>Vicerrectoría Académica - Jamina  Hernry, Bienestar Universitario- Luisa Archbold</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</si>
  <si>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</si>
  <si>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</si>
  <si>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</si>
  <si>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</si>
  <si>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</si>
  <si>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</si>
  <si>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Hudson</t>
  </si>
  <si>
    <t>Vicerrectoría Académica: Centro de lenguas - Emelino O'Neill + Derick  Hudson</t>
  </si>
  <si>
    <t>SEGUIMIENTO 3ER TRIMESTRE DE 2025- MESES: JULIO-AGOSTO-SEPTIEMBRE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</si>
</sst>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42" formatCode="_-&quot;$&quot;\ * #,##0_-;\-&quot;$&quot;\ * #,##0_-;_-&quot;$&quot;\ * &quot;-&quot;_-;_-@_-"/>
    <numFmt numFmtId="164" formatCode="0.0%"/>
  </numFmts>
  <fonts count="34">
    <font>
      <sz val="12"/>
      <color theme="1"/>
      <name val="Aptos Narrow"/>
      <family val="2"/>
      <scheme val="minor"/>
    </font>
    <font>
      <sz val="12"/>
      <color theme="1"/>
      <name val="Aptos Narrow"/>
      <family val="2"/>
      <scheme val="minor"/>
    </font>
    <font>
      <b/>
      <sz val="12"/>
      <color theme="1"/>
      <name val="Arial"/>
      <family val="2"/>
    </font>
    <font>
      <b/>
      <sz val="10"/>
      <color rgb="FF000000"/>
      <name val="Arial"/>
      <family val="2"/>
    </font>
    <font>
      <sz val="10"/>
      <color theme="1"/>
      <name val="Arial"/>
      <family val="2"/>
    </font>
    <font>
      <b/>
      <sz val="11"/>
      <color theme="1"/>
      <name val="Book Antiqua"/>
      <family val="1"/>
    </font>
    <font>
      <b/>
      <sz val="8"/>
      <color theme="1"/>
      <name val="Tahoma"/>
      <family val="2"/>
    </font>
    <font>
      <sz val="11"/>
      <color theme="1"/>
      <name val="Aptos Narrow"/>
      <family val="2"/>
      <scheme val="minor"/>
    </font>
    <font>
      <b/>
      <sz val="9"/>
      <color rgb="FF000000"/>
      <name val="Tahoma"/>
      <family val="2"/>
    </font>
    <font>
      <sz val="9"/>
      <color rgb="FF000000"/>
      <name val="Tahoma"/>
      <family val="2"/>
    </font>
    <font>
      <b/>
      <sz val="12"/>
      <color theme="0"/>
      <name val="Bookman Old Style"/>
      <family val="1"/>
    </font>
    <font>
      <sz val="11"/>
      <name val="Book Antiqua"/>
      <family val="1"/>
    </font>
    <font>
      <b/>
      <sz val="11"/>
      <color rgb="FF000000"/>
      <name val="Book Antiqua"/>
      <family val="1"/>
    </font>
    <font>
      <sz val="11"/>
      <color rgb="FF000000"/>
      <name val="Book Antiqua"/>
      <family val="1"/>
    </font>
    <font>
      <sz val="11"/>
      <color theme="1"/>
      <name val="Book Antiqua"/>
      <family val="1"/>
    </font>
    <font>
      <b/>
      <sz val="11"/>
      <name val="Book Antiqua"/>
      <family val="1"/>
    </font>
    <font>
      <b/>
      <sz val="10"/>
      <color rgb="FF000000"/>
      <name val="Book Antiqua"/>
      <family val="1"/>
    </font>
    <font>
      <sz val="10"/>
      <color theme="1"/>
      <name val="Book Antiqua"/>
      <family val="1"/>
    </font>
    <font>
      <sz val="12"/>
      <color theme="1"/>
      <name val="Book Antiqua"/>
      <family val="1"/>
    </font>
    <font>
      <sz val="10"/>
      <color rgb="FF000000"/>
      <name val="Book Antiqua"/>
      <family val="1"/>
    </font>
    <font>
      <sz val="10"/>
      <name val="Book Antiqua"/>
      <family val="1"/>
    </font>
    <font>
      <b/>
      <sz val="10"/>
      <name val="Book Antiqua"/>
      <family val="1"/>
    </font>
    <font>
      <sz val="10"/>
      <color theme="0"/>
      <name val="Aptos Narrow"/>
      <family val="2"/>
      <scheme val="minor"/>
    </font>
    <font>
      <b/>
      <sz val="10"/>
      <color rgb="FF000000"/>
      <name val="Aptos Narrow"/>
      <family val="2"/>
      <scheme val="minor"/>
    </font>
    <font>
      <sz val="10"/>
      <color rgb="FF000000"/>
      <name val="Aptos Narrow"/>
      <family val="2"/>
      <scheme val="minor"/>
    </font>
    <font>
      <sz val="10"/>
      <color theme="1"/>
      <name val="Bookman Old Style"/>
      <family val="1"/>
    </font>
    <font>
      <b/>
      <sz val="11"/>
      <color theme="1"/>
      <name val="Calibri"/>
      <family val="2"/>
    </font>
    <font>
      <b/>
      <sz val="10"/>
      <color theme="1"/>
      <name val="Calibri"/>
      <family val="2"/>
    </font>
    <font>
      <sz val="12"/>
      <color rgb="FF000000"/>
      <name val="Aptos Narrow"/>
      <family val="2"/>
      <scheme val="minor"/>
    </font>
    <font>
      <b/>
      <i/>
      <sz val="14"/>
      <color rgb="FFFF0000"/>
      <name val="Tahoma"/>
      <family val="2"/>
    </font>
    <font>
      <sz val="12"/>
      <color rgb="FF006100"/>
      <name val="Aptos Narrow"/>
      <family val="2"/>
    </font>
    <font>
      <sz val="12"/>
      <color rgb="FF9C0006"/>
      <name val="Aptos Narrow"/>
      <family val="2"/>
    </font>
    <font>
      <sz val="12"/>
      <color rgb="FF9C5700"/>
      <name val="Aptos Narrow"/>
      <family val="2"/>
    </font>
    <font>
      <b/>
      <sz val="18"/>
      <color rgb="FFFFFFFF"/>
      <name val="Bookman Old Style"/>
      <family val="1"/>
    </font>
  </fonts>
  <fills count="13">
    <fill>
      <patternFill patternType="none"/>
    </fill>
    <fill>
      <patternFill patternType="gray125"/>
    </fill>
    <fill>
      <patternFill patternType="solid">
        <fgColor rgb="FFD9E2F3"/>
        <bgColor indexed="64"/>
      </patternFill>
    </fill>
    <fill>
      <patternFill patternType="solid">
        <fgColor rgb="FFFFFFFF"/>
        <bgColor indexed="64"/>
      </patternFill>
    </fill>
    <fill>
      <patternFill patternType="solid">
        <fgColor rgb="FFFEF2CB"/>
        <bgColor rgb="FFFEF2CB"/>
      </patternFill>
    </fill>
    <fill>
      <patternFill patternType="solid">
        <fgColor rgb="FFFFD965"/>
        <bgColor rgb="FFFFD965"/>
      </patternFill>
    </fill>
    <fill>
      <patternFill patternType="solid">
        <fgColor theme="0"/>
        <bgColor rgb="FFFFFFFF"/>
      </patternFill>
    </fill>
    <fill>
      <patternFill patternType="solid">
        <fgColor theme="0"/>
        <bgColor indexed="64"/>
      </patternFill>
    </fill>
    <fill>
      <patternFill patternType="solid">
        <fgColor theme="0"/>
        <bgColor theme="0"/>
      </patternFill>
    </fill>
    <fill>
      <patternFill patternType="solid">
        <fgColor theme="3" tint="0.249977111117893"/>
        <bgColor indexed="64"/>
      </patternFill>
    </fill>
    <fill>
      <patternFill patternType="solid">
        <fgColor theme="0" tint="-0.499984740745262"/>
        <bgColor indexed="64"/>
      </patternFill>
    </fill>
    <fill>
      <patternFill patternType="solid">
        <fgColor rgb="FF0097CC"/>
        <bgColor indexed="64"/>
      </patternFill>
    </fill>
    <fill>
      <patternFill patternType="solid">
        <fgColor theme="4" tint="0.39997558519241921"/>
        <bgColor indexed="64"/>
      </patternFill>
    </fill>
  </fills>
  <borders count="44">
    <border>
      <left/>
      <right/>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thick">
        <color rgb="FF000000"/>
      </bottom>
      <diagonal/>
    </border>
    <border>
      <left/>
      <right style="thick">
        <color rgb="FF000000"/>
      </right>
      <top style="thick">
        <color rgb="FF000000"/>
      </top>
      <bottom/>
      <diagonal/>
    </border>
    <border>
      <left style="thick">
        <color rgb="FF000000"/>
      </left>
      <right style="thick">
        <color rgb="FF000000"/>
      </right>
      <top/>
      <bottom/>
      <diagonal/>
    </border>
    <border>
      <left/>
      <right style="thick">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ck">
        <color rgb="FF000000"/>
      </left>
      <right style="thick">
        <color rgb="FF000000"/>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ck">
        <color rgb="FF00000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s>
  <cellStyleXfs count="4">
    <xf numFmtId="0" fontId="0" fillId="0" borderId="0"/>
    <xf numFmtId="42" fontId="1" fillId="0" borderId="0" applyFont="0" applyFill="0" applyBorder="0" applyAlignment="0" applyProtection="0"/>
    <xf numFmtId="9" fontId="1" fillId="0" borderId="0" applyFont="0" applyFill="0" applyBorder="0" applyAlignment="0" applyProtection="0"/>
    <xf numFmtId="0" fontId="7" fillId="0" borderId="0"/>
  </cellStyleXfs>
  <cellXfs count="195">
    <xf numFmtId="0" fontId="0" fillId="0" borderId="0" xfId="0"/>
    <xf numFmtId="9" fontId="0" fillId="0" borderId="0" xfId="0" applyNumberFormat="1"/>
    <xf numFmtId="9" fontId="4" fillId="0" borderId="0" xfId="0" applyNumberFormat="1" applyFont="1" applyAlignment="1">
      <alignment horizontal="center" vertical="center" wrapText="1"/>
    </xf>
    <xf numFmtId="9" fontId="4" fillId="0" borderId="0" xfId="2"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1" fontId="4" fillId="0" borderId="0" xfId="0" applyNumberFormat="1" applyFont="1" applyAlignment="1">
      <alignment horizontal="center" vertical="center" wrapText="1"/>
    </xf>
    <xf numFmtId="3" fontId="4" fillId="0" borderId="0" xfId="0" applyNumberFormat="1" applyFont="1" applyAlignment="1">
      <alignment horizontal="center" vertical="center" wrapText="1"/>
    </xf>
    <xf numFmtId="1" fontId="0" fillId="0" borderId="0" xfId="0" applyNumberFormat="1"/>
    <xf numFmtId="0" fontId="13" fillId="7" borderId="10"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2" fillId="6" borderId="9" xfId="3" applyFont="1" applyFill="1" applyBorder="1" applyAlignment="1">
      <alignment horizontal="center" vertical="center" wrapText="1"/>
    </xf>
    <xf numFmtId="0" fontId="13" fillId="7" borderId="9" xfId="0" applyFont="1" applyFill="1" applyBorder="1" applyAlignment="1">
      <alignment horizontal="center" vertical="center" wrapText="1"/>
    </xf>
    <xf numFmtId="9" fontId="14" fillId="7" borderId="10" xfId="0" applyNumberFormat="1" applyFont="1" applyFill="1" applyBorder="1" applyAlignment="1">
      <alignment horizontal="center" vertical="center" wrapText="1"/>
    </xf>
    <xf numFmtId="0" fontId="12" fillId="6" borderId="17" xfId="3" applyFont="1" applyFill="1" applyBorder="1" applyAlignment="1">
      <alignment horizontal="center" vertical="center" wrapText="1"/>
    </xf>
    <xf numFmtId="0" fontId="13" fillId="7" borderId="17" xfId="0" applyFont="1" applyFill="1" applyBorder="1" applyAlignment="1">
      <alignment horizontal="center" vertical="center" wrapText="1"/>
    </xf>
    <xf numFmtId="0" fontId="13" fillId="7" borderId="15" xfId="0" applyFont="1" applyFill="1" applyBorder="1" applyAlignment="1">
      <alignment horizontal="center" vertical="center" wrapText="1"/>
    </xf>
    <xf numFmtId="9" fontId="14" fillId="0" borderId="10" xfId="0" applyNumberFormat="1" applyFont="1" applyBorder="1" applyAlignment="1">
      <alignment horizontal="center" vertical="center"/>
    </xf>
    <xf numFmtId="0" fontId="14" fillId="7" borderId="9" xfId="0" applyFont="1" applyFill="1" applyBorder="1" applyAlignment="1">
      <alignment horizontal="center" vertical="center" wrapText="1"/>
    </xf>
    <xf numFmtId="1" fontId="14" fillId="0" borderId="10" xfId="0" applyNumberFormat="1" applyFont="1" applyBorder="1" applyAlignment="1">
      <alignment horizontal="center" vertical="center"/>
    </xf>
    <xf numFmtId="0" fontId="14" fillId="8" borderId="10" xfId="0" applyFont="1" applyFill="1" applyBorder="1" applyAlignment="1">
      <alignment horizontal="center" vertical="center" wrapText="1"/>
    </xf>
    <xf numFmtId="0" fontId="12" fillId="6" borderId="11" xfId="3" applyFont="1" applyFill="1" applyBorder="1" applyAlignment="1">
      <alignment horizontal="center" vertical="center" wrapText="1"/>
    </xf>
    <xf numFmtId="0" fontId="17" fillId="0" borderId="8" xfId="0" applyFont="1" applyBorder="1" applyAlignment="1">
      <alignment horizontal="center" vertical="center" wrapText="1"/>
    </xf>
    <xf numFmtId="0" fontId="17"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18" fillId="0" borderId="10" xfId="0" applyFont="1" applyBorder="1" applyAlignment="1">
      <alignment horizontal="center" vertical="center"/>
    </xf>
    <xf numFmtId="1" fontId="18" fillId="0" borderId="10" xfId="0" applyNumberFormat="1" applyFont="1" applyBorder="1" applyAlignment="1">
      <alignment horizontal="center" vertical="center"/>
    </xf>
    <xf numFmtId="9" fontId="18" fillId="0" borderId="10" xfId="0" applyNumberFormat="1" applyFont="1" applyBorder="1" applyAlignment="1">
      <alignment horizontal="center" vertical="center"/>
    </xf>
    <xf numFmtId="42" fontId="18" fillId="0" borderId="10" xfId="1" applyFont="1" applyBorder="1" applyAlignment="1">
      <alignment horizontal="center" vertical="center"/>
    </xf>
    <xf numFmtId="9" fontId="19" fillId="0" borderId="10"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16" fillId="0" borderId="10" xfId="0" applyFont="1" applyBorder="1" applyAlignment="1">
      <alignment horizontal="center" vertical="center" wrapText="1"/>
    </xf>
    <xf numFmtId="42" fontId="18" fillId="0" borderId="10" xfId="1" applyFont="1" applyBorder="1" applyAlignment="1">
      <alignment horizontal="center" vertical="center" wrapText="1"/>
    </xf>
    <xf numFmtId="9" fontId="17" fillId="0" borderId="10" xfId="0" applyNumberFormat="1" applyFont="1" applyBorder="1" applyAlignment="1">
      <alignment horizontal="center" vertical="center" wrapText="1"/>
    </xf>
    <xf numFmtId="9" fontId="17" fillId="0" borderId="10" xfId="2" applyFont="1" applyFill="1" applyBorder="1" applyAlignment="1">
      <alignment horizontal="center" vertical="center" wrapText="1"/>
    </xf>
    <xf numFmtId="3" fontId="17" fillId="0" borderId="10" xfId="0" applyNumberFormat="1" applyFont="1" applyBorder="1" applyAlignment="1">
      <alignment horizontal="center" vertical="center" wrapText="1"/>
    </xf>
    <xf numFmtId="1" fontId="17" fillId="0" borderId="10" xfId="0" applyNumberFormat="1" applyFont="1" applyBorder="1" applyAlignment="1">
      <alignment horizontal="center" vertical="center" wrapText="1"/>
    </xf>
    <xf numFmtId="0" fontId="16" fillId="6" borderId="7" xfId="3" applyFont="1" applyFill="1" applyBorder="1" applyAlignment="1">
      <alignment vertical="center" wrapText="1"/>
    </xf>
    <xf numFmtId="0" fontId="16" fillId="6" borderId="8" xfId="3" applyFont="1" applyFill="1" applyBorder="1" applyAlignment="1">
      <alignment vertical="center" wrapText="1"/>
    </xf>
    <xf numFmtId="0" fontId="19" fillId="7" borderId="7" xfId="0" applyFont="1" applyFill="1" applyBorder="1" applyAlignment="1">
      <alignment vertical="center" wrapText="1"/>
    </xf>
    <xf numFmtId="0" fontId="19" fillId="7" borderId="8" xfId="0" applyFont="1" applyFill="1" applyBorder="1" applyAlignment="1">
      <alignment vertical="center" wrapText="1"/>
    </xf>
    <xf numFmtId="0" fontId="17" fillId="7" borderId="8" xfId="0" applyFont="1" applyFill="1" applyBorder="1" applyAlignment="1">
      <alignment vertical="center" wrapText="1"/>
    </xf>
    <xf numFmtId="0" fontId="20" fillId="0" borderId="16" xfId="0" applyFont="1" applyBorder="1" applyAlignment="1">
      <alignment horizontal="center" vertical="center"/>
    </xf>
    <xf numFmtId="0" fontId="20" fillId="0" borderId="8" xfId="0" applyFont="1" applyBorder="1" applyAlignment="1">
      <alignment horizontal="center" vertical="center"/>
    </xf>
    <xf numFmtId="0" fontId="16" fillId="6" borderId="10" xfId="3" applyFont="1" applyFill="1" applyBorder="1" applyAlignment="1">
      <alignment horizontal="center" vertical="center" wrapText="1"/>
    </xf>
    <xf numFmtId="0" fontId="19" fillId="6" borderId="10" xfId="3" applyFont="1" applyFill="1" applyBorder="1" applyAlignment="1">
      <alignment horizontal="center" vertical="center" wrapText="1"/>
    </xf>
    <xf numFmtId="0" fontId="19" fillId="6" borderId="10" xfId="0" applyFont="1" applyFill="1" applyBorder="1" applyAlignment="1">
      <alignment horizontal="center" vertical="center" wrapText="1"/>
    </xf>
    <xf numFmtId="3" fontId="19" fillId="6" borderId="10" xfId="3" applyNumberFormat="1"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7" fillId="7" borderId="10" xfId="0" applyFont="1" applyFill="1" applyBorder="1" applyAlignment="1">
      <alignment horizontal="center" vertical="center" wrapText="1"/>
    </xf>
    <xf numFmtId="9" fontId="19" fillId="6" borderId="10" xfId="3" applyNumberFormat="1" applyFont="1" applyFill="1" applyBorder="1" applyAlignment="1">
      <alignment horizontal="center" vertical="center" wrapText="1"/>
    </xf>
    <xf numFmtId="0" fontId="16" fillId="6" borderId="9" xfId="3" applyFont="1" applyFill="1" applyBorder="1" applyAlignment="1">
      <alignment horizontal="center" vertical="center" wrapText="1"/>
    </xf>
    <xf numFmtId="0" fontId="19" fillId="7" borderId="9" xfId="0" applyFont="1" applyFill="1" applyBorder="1" applyAlignment="1">
      <alignment horizontal="center" vertical="center" wrapText="1"/>
    </xf>
    <xf numFmtId="9" fontId="17" fillId="7" borderId="10" xfId="0" applyNumberFormat="1" applyFont="1" applyFill="1" applyBorder="1" applyAlignment="1">
      <alignment horizontal="center" vertical="center" wrapText="1"/>
    </xf>
    <xf numFmtId="0" fontId="16" fillId="6" borderId="18" xfId="3" applyFont="1" applyFill="1" applyBorder="1" applyAlignment="1">
      <alignment horizontal="center" vertical="center" wrapText="1"/>
    </xf>
    <xf numFmtId="0" fontId="23" fillId="0" borderId="10" xfId="0" applyFont="1" applyBorder="1" applyAlignment="1">
      <alignment horizontal="center" vertical="center" wrapText="1"/>
    </xf>
    <xf numFmtId="0" fontId="24" fillId="0" borderId="10" xfId="0" applyFont="1" applyBorder="1" applyAlignment="1">
      <alignment horizontal="center" vertical="center" wrapText="1"/>
    </xf>
    <xf numFmtId="14" fontId="24" fillId="0" borderId="10" xfId="0" applyNumberFormat="1" applyFont="1" applyBorder="1" applyAlignment="1">
      <alignment horizontal="center" vertical="center" wrapText="1"/>
    </xf>
    <xf numFmtId="0" fontId="24" fillId="0" borderId="10" xfId="0" applyFont="1" applyBorder="1" applyAlignment="1">
      <alignment vertical="center" wrapText="1"/>
    </xf>
    <xf numFmtId="0" fontId="11" fillId="7" borderId="8" xfId="0" applyFont="1" applyFill="1" applyBorder="1" applyAlignment="1">
      <alignment horizontal="center" vertical="center"/>
    </xf>
    <xf numFmtId="0" fontId="19" fillId="0" borderId="10" xfId="0" applyFont="1" applyBorder="1" applyAlignment="1">
      <alignment vertical="center" wrapText="1"/>
    </xf>
    <xf numFmtId="42" fontId="18" fillId="0" borderId="10" xfId="1" applyFont="1" applyFill="1" applyBorder="1" applyAlignment="1">
      <alignment horizontal="center" vertical="center"/>
    </xf>
    <xf numFmtId="0" fontId="17" fillId="0" borderId="10" xfId="0" applyFont="1" applyBorder="1" applyAlignment="1">
      <alignment wrapText="1"/>
    </xf>
    <xf numFmtId="0" fontId="17" fillId="0" borderId="10" xfId="0" applyFont="1" applyBorder="1" applyAlignment="1">
      <alignment vertical="center" wrapText="1"/>
    </xf>
    <xf numFmtId="0" fontId="5" fillId="3" borderId="26" xfId="0" applyFont="1" applyFill="1" applyBorder="1" applyAlignment="1">
      <alignment vertical="center" wrapText="1"/>
    </xf>
    <xf numFmtId="0" fontId="0" fillId="0" borderId="10" xfId="0" applyBorder="1" applyAlignment="1">
      <alignment horizontal="center" vertical="center"/>
    </xf>
    <xf numFmtId="9" fontId="0" fillId="0" borderId="10" xfId="0" applyNumberFormat="1" applyBorder="1" applyAlignment="1">
      <alignment horizontal="center" vertical="center"/>
    </xf>
    <xf numFmtId="42" fontId="28" fillId="0" borderId="10" xfId="0" applyNumberFormat="1" applyFont="1" applyBorder="1" applyAlignment="1">
      <alignment horizontal="center" vertical="center"/>
    </xf>
    <xf numFmtId="42" fontId="0" fillId="0" borderId="10" xfId="1" applyFont="1" applyFill="1" applyBorder="1" applyAlignment="1">
      <alignment horizontal="center" vertical="center"/>
    </xf>
    <xf numFmtId="9" fontId="0" fillId="0" borderId="10" xfId="2" applyFont="1" applyBorder="1" applyAlignment="1">
      <alignment horizontal="center" vertical="center"/>
    </xf>
    <xf numFmtId="9" fontId="0" fillId="0" borderId="10" xfId="2" applyFont="1" applyBorder="1" applyAlignment="1">
      <alignment horizontal="center" vertical="center" wrapText="1"/>
    </xf>
    <xf numFmtId="42" fontId="0" fillId="0" borderId="10" xfId="0" applyNumberFormat="1" applyBorder="1" applyAlignment="1">
      <alignment horizontal="center" vertical="center"/>
    </xf>
    <xf numFmtId="1" fontId="0" fillId="0" borderId="10" xfId="2" applyNumberFormat="1" applyFont="1" applyBorder="1" applyAlignment="1">
      <alignment horizontal="center" vertical="center"/>
    </xf>
    <xf numFmtId="6" fontId="18" fillId="0" borderId="10" xfId="1" applyNumberFormat="1" applyFont="1" applyBorder="1" applyAlignment="1">
      <alignment horizontal="center" vertical="center"/>
    </xf>
    <xf numFmtId="42" fontId="0" fillId="0" borderId="10" xfId="1" applyFont="1" applyBorder="1" applyAlignment="1">
      <alignment horizontal="center" vertical="center"/>
    </xf>
    <xf numFmtId="10" fontId="4" fillId="0" borderId="10" xfId="0" applyNumberFormat="1" applyFont="1" applyBorder="1" applyAlignment="1">
      <alignment horizontal="center" vertical="center"/>
    </xf>
    <xf numFmtId="10" fontId="4" fillId="0" borderId="10" xfId="2" applyNumberFormat="1" applyFont="1" applyBorder="1" applyAlignment="1">
      <alignment horizontal="center" vertical="center"/>
    </xf>
    <xf numFmtId="0" fontId="0" fillId="0" borderId="10" xfId="0" applyBorder="1"/>
    <xf numFmtId="0" fontId="0" fillId="0" borderId="10" xfId="0" applyBorder="1" applyAlignment="1">
      <alignment horizontal="center" wrapText="1"/>
    </xf>
    <xf numFmtId="0" fontId="0" fillId="0" borderId="10" xfId="0" applyBorder="1" applyAlignment="1">
      <alignment wrapText="1"/>
    </xf>
    <xf numFmtId="0" fontId="0" fillId="0" borderId="10" xfId="0" applyBorder="1" applyAlignment="1">
      <alignment vertical="center" wrapText="1"/>
    </xf>
    <xf numFmtId="0" fontId="17" fillId="0" borderId="28" xfId="0" applyFont="1" applyBorder="1" applyAlignment="1">
      <alignment horizontal="center" vertical="center"/>
    </xf>
    <xf numFmtId="0" fontId="17" fillId="0" borderId="15" xfId="0" applyFont="1" applyBorder="1" applyAlignment="1">
      <alignment horizontal="center" vertical="center" wrapText="1"/>
    </xf>
    <xf numFmtId="0" fontId="25" fillId="0" borderId="10" xfId="0" applyFont="1" applyBorder="1" applyAlignment="1">
      <alignment horizontal="center" vertical="center" wrapText="1"/>
    </xf>
    <xf numFmtId="9" fontId="0" fillId="0" borderId="10" xfId="0" applyNumberFormat="1" applyBorder="1" applyAlignment="1">
      <alignment horizontal="center" vertical="center" wrapText="1"/>
    </xf>
    <xf numFmtId="0" fontId="0" fillId="0" borderId="0" xfId="0" applyAlignment="1">
      <alignment wrapText="1"/>
    </xf>
    <xf numFmtId="0" fontId="0" fillId="0" borderId="10" xfId="0" applyBorder="1" applyAlignment="1">
      <alignment horizontal="center" vertical="center" wrapText="1"/>
    </xf>
    <xf numFmtId="0" fontId="0" fillId="0" borderId="16" xfId="0" applyBorder="1" applyAlignment="1">
      <alignment wrapText="1"/>
    </xf>
    <xf numFmtId="0" fontId="16" fillId="7" borderId="10" xfId="0" applyFont="1" applyFill="1" applyBorder="1" applyAlignment="1">
      <alignment horizontal="center" vertical="center" wrapText="1"/>
    </xf>
    <xf numFmtId="0" fontId="13" fillId="0" borderId="10" xfId="0" applyFont="1" applyBorder="1" applyAlignment="1">
      <alignment horizontal="center" vertical="center" wrapText="1"/>
    </xf>
    <xf numFmtId="0" fontId="14" fillId="0" borderId="10" xfId="0" applyFont="1" applyBorder="1" applyAlignment="1">
      <alignment horizontal="center" vertical="center" wrapText="1"/>
    </xf>
    <xf numFmtId="0" fontId="33" fillId="7" borderId="0" xfId="0" applyFont="1" applyFill="1" applyBorder="1" applyAlignment="1">
      <alignment vertical="center" wrapText="1"/>
    </xf>
    <xf numFmtId="0" fontId="0" fillId="0" borderId="8" xfId="0" applyBorder="1" applyAlignment="1">
      <alignment horizontal="center" vertical="center"/>
    </xf>
    <xf numFmtId="0" fontId="5" fillId="0" borderId="26" xfId="0" applyFont="1" applyBorder="1" applyAlignment="1">
      <alignment vertical="center" wrapText="1"/>
    </xf>
    <xf numFmtId="9" fontId="0" fillId="0" borderId="8" xfId="0" applyNumberFormat="1" applyBorder="1" applyAlignment="1">
      <alignment horizontal="center" vertical="center"/>
    </xf>
    <xf numFmtId="0" fontId="5" fillId="3" borderId="0" xfId="0" applyFont="1" applyFill="1" applyBorder="1" applyAlignment="1">
      <alignment vertical="center" wrapText="1"/>
    </xf>
    <xf numFmtId="0" fontId="0" fillId="0" borderId="8" xfId="0" applyBorder="1" applyAlignment="1">
      <alignment wrapText="1"/>
    </xf>
    <xf numFmtId="164" fontId="0" fillId="0" borderId="8" xfId="2" applyNumberFormat="1" applyFont="1" applyBorder="1" applyAlignment="1">
      <alignment horizontal="center" vertical="center"/>
    </xf>
    <xf numFmtId="0" fontId="0" fillId="0" borderId="8" xfId="0" applyBorder="1"/>
    <xf numFmtId="0" fontId="0" fillId="0" borderId="8" xfId="0" applyBorder="1" applyAlignment="1">
      <alignment horizontal="center" vertical="center" wrapText="1"/>
    </xf>
    <xf numFmtId="164" fontId="0" fillId="0" borderId="0" xfId="0" applyNumberFormat="1"/>
    <xf numFmtId="0" fontId="2" fillId="2" borderId="1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6" fillId="0" borderId="8" xfId="0" applyFont="1" applyBorder="1" applyAlignment="1">
      <alignment horizontal="center" vertical="center" wrapText="1"/>
    </xf>
    <xf numFmtId="0" fontId="16" fillId="0" borderId="10" xfId="0" applyFont="1" applyBorder="1" applyAlignment="1">
      <alignment horizontal="center" vertical="center" wrapText="1"/>
    </xf>
    <xf numFmtId="0" fontId="17" fillId="0" borderId="10" xfId="0" applyFont="1" applyBorder="1" applyAlignment="1">
      <alignment horizontal="center" vertical="center" wrapText="1"/>
    </xf>
    <xf numFmtId="0" fontId="21" fillId="0" borderId="10" xfId="0" applyFont="1" applyBorder="1" applyAlignment="1">
      <alignment horizontal="center" vertical="center"/>
    </xf>
    <xf numFmtId="0" fontId="17" fillId="0" borderId="10" xfId="0" applyFont="1" applyBorder="1" applyAlignment="1">
      <alignment horizontal="center" vertical="center"/>
    </xf>
    <xf numFmtId="0" fontId="17" fillId="0" borderId="27" xfId="0" applyFont="1" applyBorder="1" applyAlignment="1">
      <alignment horizontal="center" vertical="center" wrapText="1"/>
    </xf>
    <xf numFmtId="0" fontId="17" fillId="0" borderId="27" xfId="0" applyFont="1" applyBorder="1" applyAlignment="1">
      <alignment horizontal="center" vertical="center"/>
    </xf>
    <xf numFmtId="0" fontId="6" fillId="4" borderId="14" xfId="0" applyFont="1" applyFill="1" applyBorder="1" applyAlignment="1">
      <alignment horizontal="center" vertical="center" wrapText="1"/>
    </xf>
    <xf numFmtId="9" fontId="18" fillId="0" borderId="15" xfId="0" applyNumberFormat="1" applyFont="1" applyBorder="1" applyAlignment="1">
      <alignment horizontal="center" vertical="center"/>
    </xf>
    <xf numFmtId="0" fontId="18" fillId="0" borderId="16" xfId="0" applyFont="1" applyBorder="1" applyAlignment="1">
      <alignment horizontal="center" vertical="center"/>
    </xf>
    <xf numFmtId="0" fontId="18" fillId="0" borderId="8" xfId="0" applyFont="1" applyBorder="1" applyAlignment="1">
      <alignment horizontal="center" vertical="center"/>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33" fillId="12" borderId="34" xfId="0" applyFont="1" applyFill="1" applyBorder="1" applyAlignment="1">
      <alignment horizontal="center" vertical="center" wrapText="1"/>
    </xf>
    <xf numFmtId="0" fontId="33" fillId="12" borderId="35" xfId="0" applyFont="1" applyFill="1" applyBorder="1" applyAlignment="1">
      <alignment horizontal="center" vertical="center" wrapText="1"/>
    </xf>
    <xf numFmtId="0" fontId="33" fillId="12" borderId="36" xfId="0" applyFont="1" applyFill="1" applyBorder="1" applyAlignment="1">
      <alignment horizontal="center" vertical="center" wrapText="1"/>
    </xf>
    <xf numFmtId="0" fontId="10" fillId="9" borderId="33" xfId="0" applyFont="1" applyFill="1" applyBorder="1" applyAlignment="1">
      <alignment horizontal="center" vertical="center" wrapText="1"/>
    </xf>
    <xf numFmtId="0" fontId="10" fillId="9" borderId="31" xfId="0" applyFont="1" applyFill="1" applyBorder="1" applyAlignment="1">
      <alignment horizontal="center" vertical="center" wrapText="1"/>
    </xf>
    <xf numFmtId="0" fontId="10" fillId="9" borderId="32" xfId="0" applyFont="1" applyFill="1" applyBorder="1" applyAlignment="1">
      <alignment horizontal="center" vertical="center" wrapText="1"/>
    </xf>
    <xf numFmtId="0" fontId="0" fillId="0" borderId="33" xfId="0" applyBorder="1" applyAlignment="1">
      <alignment horizontal="center"/>
    </xf>
    <xf numFmtId="0" fontId="0" fillId="0" borderId="32" xfId="0" applyBorder="1" applyAlignment="1">
      <alignment horizontal="center"/>
    </xf>
    <xf numFmtId="0" fontId="27" fillId="11" borderId="22" xfId="0" applyFont="1" applyFill="1" applyBorder="1" applyAlignment="1">
      <alignment horizontal="center" vertical="center" wrapText="1"/>
    </xf>
    <xf numFmtId="0" fontId="27" fillId="11" borderId="25"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6" fillId="11" borderId="22" xfId="0" applyFont="1" applyFill="1" applyBorder="1" applyAlignment="1">
      <alignment horizontal="center" vertical="center" wrapText="1"/>
    </xf>
    <xf numFmtId="0" fontId="26" fillId="11" borderId="25" xfId="0" applyFont="1" applyFill="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37" xfId="0" applyFont="1" applyBorder="1" applyAlignment="1">
      <alignment horizontal="center" vertical="center" wrapText="1"/>
    </xf>
    <xf numFmtId="0" fontId="5" fillId="0" borderId="43" xfId="0" applyFont="1" applyBorder="1" applyAlignment="1">
      <alignment horizontal="center" vertical="center" wrapText="1"/>
    </xf>
    <xf numFmtId="0" fontId="26" fillId="11" borderId="38" xfId="0" applyFont="1" applyFill="1" applyBorder="1" applyAlignment="1">
      <alignment horizontal="center" vertical="center" wrapText="1"/>
    </xf>
    <xf numFmtId="0" fontId="26" fillId="11" borderId="43" xfId="0" applyFont="1" applyFill="1" applyBorder="1" applyAlignment="1">
      <alignment horizontal="center" vertical="center" wrapText="1"/>
    </xf>
    <xf numFmtId="0" fontId="26" fillId="11" borderId="39" xfId="0" applyFont="1" applyFill="1" applyBorder="1" applyAlignment="1">
      <alignment horizontal="center" vertical="center" wrapText="1"/>
    </xf>
    <xf numFmtId="9" fontId="27" fillId="11" borderId="24" xfId="2" applyFont="1" applyFill="1" applyBorder="1" applyAlignment="1">
      <alignment horizontal="center" vertical="center" wrapText="1"/>
    </xf>
    <xf numFmtId="9" fontId="27" fillId="11" borderId="26" xfId="2" applyFont="1" applyFill="1" applyBorder="1" applyAlignment="1">
      <alignment horizontal="center" vertical="center" wrapText="1"/>
    </xf>
    <xf numFmtId="0" fontId="16" fillId="6" borderId="10" xfId="3" applyFont="1" applyFill="1" applyBorder="1" applyAlignment="1">
      <alignment horizontal="center" vertical="center" wrapText="1"/>
    </xf>
    <xf numFmtId="0" fontId="21" fillId="7" borderId="10" xfId="3" applyFont="1" applyFill="1" applyBorder="1" applyAlignment="1">
      <alignment horizontal="center" vertical="center"/>
    </xf>
    <xf numFmtId="0" fontId="20" fillId="6" borderId="9" xfId="3"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6" fillId="6" borderId="9" xfId="3" applyFont="1" applyFill="1" applyBorder="1" applyAlignment="1">
      <alignment horizontal="center" vertical="center" wrapText="1"/>
    </xf>
    <xf numFmtId="0" fontId="21" fillId="7" borderId="9" xfId="3" applyFont="1" applyFill="1" applyBorder="1" applyAlignment="1">
      <alignment horizontal="center" vertical="center"/>
    </xf>
    <xf numFmtId="0" fontId="19" fillId="7" borderId="9" xfId="0" applyFont="1" applyFill="1" applyBorder="1" applyAlignment="1">
      <alignment horizontal="center" vertical="center" wrapText="1"/>
    </xf>
    <xf numFmtId="0" fontId="20" fillId="7" borderId="9" xfId="0" applyFont="1" applyFill="1" applyBorder="1" applyAlignment="1">
      <alignment horizontal="center" vertical="center"/>
    </xf>
    <xf numFmtId="0" fontId="19" fillId="6" borderId="10" xfId="3" applyFont="1" applyFill="1" applyBorder="1" applyAlignment="1">
      <alignment horizontal="center" vertical="center" wrapText="1"/>
    </xf>
    <xf numFmtId="0" fontId="20" fillId="7" borderId="10" xfId="3" applyFont="1" applyFill="1" applyBorder="1" applyAlignment="1">
      <alignment horizontal="center" vertical="center"/>
    </xf>
    <xf numFmtId="0" fontId="12" fillId="6" borderId="9" xfId="3" applyFont="1" applyFill="1" applyBorder="1" applyAlignment="1">
      <alignment horizontal="center" vertical="center" wrapText="1"/>
    </xf>
    <xf numFmtId="0" fontId="13" fillId="7" borderId="9"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1" fillId="7" borderId="10" xfId="0" applyFont="1" applyFill="1" applyBorder="1" applyAlignment="1">
      <alignment horizontal="center" vertical="center"/>
    </xf>
    <xf numFmtId="0" fontId="17" fillId="7" borderId="9" xfId="0" applyFont="1" applyFill="1" applyBorder="1" applyAlignment="1">
      <alignment horizontal="center" vertical="center" wrapText="1"/>
    </xf>
    <xf numFmtId="0" fontId="15" fillId="7" borderId="17" xfId="3" applyFont="1" applyFill="1" applyBorder="1" applyAlignment="1">
      <alignment horizontal="center" vertical="center"/>
    </xf>
    <xf numFmtId="0" fontId="15" fillId="7" borderId="7" xfId="3" applyFont="1" applyFill="1" applyBorder="1" applyAlignment="1">
      <alignment horizontal="center" vertical="center"/>
    </xf>
    <xf numFmtId="0" fontId="21" fillId="7" borderId="18" xfId="3" applyFont="1" applyFill="1" applyBorder="1" applyAlignment="1">
      <alignment horizontal="center" vertical="center"/>
    </xf>
    <xf numFmtId="0" fontId="21" fillId="7" borderId="29" xfId="3" applyFont="1" applyFill="1" applyBorder="1" applyAlignment="1">
      <alignment horizontal="center" vertical="center"/>
    </xf>
    <xf numFmtId="0" fontId="13" fillId="7" borderId="17"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5" fillId="7" borderId="9" xfId="3" applyFont="1" applyFill="1" applyBorder="1" applyAlignment="1">
      <alignment horizontal="center" vertical="center"/>
    </xf>
    <xf numFmtId="0" fontId="11" fillId="7" borderId="9" xfId="0" applyFont="1" applyFill="1" applyBorder="1" applyAlignment="1">
      <alignment horizontal="center" vertical="center"/>
    </xf>
    <xf numFmtId="9" fontId="27" fillId="11" borderId="38" xfId="2" applyFont="1" applyFill="1" applyBorder="1" applyAlignment="1">
      <alignment horizontal="center" vertical="center" wrapText="1"/>
    </xf>
    <xf numFmtId="9" fontId="27" fillId="11" borderId="43" xfId="2" applyFont="1" applyFill="1" applyBorder="1" applyAlignment="1">
      <alignment horizontal="center" vertical="center" wrapText="1"/>
    </xf>
    <xf numFmtId="9" fontId="27" fillId="11" borderId="39" xfId="2" applyFont="1" applyFill="1" applyBorder="1" applyAlignment="1">
      <alignment horizontal="center" vertical="center" wrapText="1"/>
    </xf>
    <xf numFmtId="0" fontId="13" fillId="7" borderId="15" xfId="0" applyFont="1" applyFill="1" applyBorder="1" applyAlignment="1">
      <alignment horizontal="center" vertical="center" wrapText="1"/>
    </xf>
    <xf numFmtId="0" fontId="13" fillId="7" borderId="16"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9" fillId="6" borderId="15" xfId="3" applyFont="1" applyFill="1" applyBorder="1" applyAlignment="1">
      <alignment horizontal="center" vertical="center" wrapText="1"/>
    </xf>
    <xf numFmtId="0" fontId="19" fillId="6" borderId="8" xfId="3"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16" xfId="0" applyFont="1" applyFill="1" applyBorder="1" applyAlignment="1">
      <alignment horizontal="center" vertical="center" wrapText="1"/>
    </xf>
    <xf numFmtId="0" fontId="19" fillId="7" borderId="8" xfId="0" applyFont="1" applyFill="1" applyBorder="1" applyAlignment="1">
      <alignment horizontal="center" vertical="center" wrapText="1"/>
    </xf>
    <xf numFmtId="9" fontId="14" fillId="7" borderId="10" xfId="0" applyNumberFormat="1" applyFont="1" applyFill="1" applyBorder="1" applyAlignment="1">
      <alignment horizontal="center" vertical="center" wrapText="1"/>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27" fillId="11" borderId="37" xfId="0" applyFont="1" applyFill="1" applyBorder="1" applyAlignment="1">
      <alignment horizontal="center" vertical="center" wrapText="1"/>
    </xf>
    <xf numFmtId="0" fontId="27" fillId="11" borderId="0" xfId="0" applyFont="1" applyFill="1" applyBorder="1" applyAlignment="1">
      <alignment horizontal="center" vertical="center" wrapText="1"/>
    </xf>
    <xf numFmtId="0" fontId="22" fillId="10" borderId="19" xfId="0" applyFont="1" applyFill="1" applyBorder="1" applyAlignment="1">
      <alignment horizontal="center"/>
    </xf>
    <xf numFmtId="0" fontId="0" fillId="10" borderId="19" xfId="0" applyFill="1" applyBorder="1" applyAlignment="1">
      <alignment horizontal="center"/>
    </xf>
  </cellXfs>
  <cellStyles count="4">
    <cellStyle name="Moneda [0]" xfId="1" builtinId="7"/>
    <cellStyle name="Normal" xfId="0" builtinId="0"/>
    <cellStyle name="Normal 2" xfId="3" xr:uid="{00000000-0005-0000-0000-000002000000}"/>
    <cellStyle name="Porcentaje" xfId="2"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561975</xdr:colOff>
      <xdr:row>1</xdr:row>
      <xdr:rowOff>257174</xdr:rowOff>
    </xdr:from>
    <xdr:to>
      <xdr:col>1</xdr:col>
      <xdr:colOff>1543050</xdr:colOff>
      <xdr:row>3</xdr:row>
      <xdr:rowOff>48259</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975" y="447674"/>
          <a:ext cx="2238375" cy="8007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609600</xdr:colOff>
      <xdr:row>2</xdr:row>
      <xdr:rowOff>57149</xdr:rowOff>
    </xdr:from>
    <xdr:to>
      <xdr:col>1</xdr:col>
      <xdr:colOff>1314450</xdr:colOff>
      <xdr:row>3</xdr:row>
      <xdr:rowOff>29209</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438149"/>
          <a:ext cx="2219325" cy="76263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V51"/>
  <sheetViews>
    <sheetView topLeftCell="F49" zoomScale="80" zoomScaleNormal="80" workbookViewId="0">
      <selection activeCell="X36" sqref="X36"/>
    </sheetView>
  </sheetViews>
  <sheetFormatPr baseColWidth="10" defaultRowHeight="15"/>
  <cols>
    <col min="1" max="1" width="14.6640625" customWidth="1"/>
    <col min="2" max="2" width="27.109375" customWidth="1"/>
    <col min="3" max="3" width="22.77734375" bestFit="1" customWidth="1"/>
    <col min="4" max="4" width="22.6640625" customWidth="1"/>
    <col min="5" max="5" width="17.109375" bestFit="1" customWidth="1"/>
    <col min="6" max="6" width="23.44140625" customWidth="1"/>
    <col min="7" max="7" width="14.44140625" bestFit="1" customWidth="1"/>
    <col min="8" max="8" width="13.44140625" bestFit="1" customWidth="1"/>
    <col min="9" max="9" width="13.77734375" bestFit="1" customWidth="1"/>
    <col min="10" max="10" width="12.77734375" bestFit="1" customWidth="1"/>
    <col min="11" max="12" width="13.77734375" bestFit="1" customWidth="1"/>
    <col min="13" max="16" width="0" hidden="1" customWidth="1"/>
    <col min="17" max="17" width="46.44140625" customWidth="1"/>
    <col min="19" max="19" width="0" hidden="1" customWidth="1"/>
    <col min="20" max="20" width="15.21875" customWidth="1"/>
  </cols>
  <sheetData>
    <row r="2" spans="1:22" ht="23.25" customHeight="1" thickBot="1"/>
    <row r="3" spans="1:22" ht="56.25" customHeight="1" thickBot="1">
      <c r="A3" s="128"/>
      <c r="B3" s="129"/>
      <c r="C3" s="125" t="s">
        <v>276</v>
      </c>
      <c r="D3" s="126"/>
      <c r="E3" s="126"/>
      <c r="F3" s="126"/>
      <c r="G3" s="126"/>
      <c r="H3" s="126"/>
      <c r="I3" s="126"/>
      <c r="J3" s="126"/>
      <c r="K3" s="126"/>
      <c r="L3" s="127"/>
      <c r="Q3" s="122" t="s">
        <v>366</v>
      </c>
      <c r="R3" s="123"/>
      <c r="S3" s="123"/>
      <c r="T3" s="123"/>
      <c r="U3" s="124"/>
      <c r="V3" s="91"/>
    </row>
    <row r="4" spans="1:22" ht="15.75" thickBot="1"/>
    <row r="5" spans="1:22" ht="32.1" customHeight="1" thickTop="1" thickBot="1">
      <c r="A5" s="101" t="s">
        <v>0</v>
      </c>
      <c r="B5" s="104" t="s">
        <v>1</v>
      </c>
      <c r="C5" s="104" t="s">
        <v>2</v>
      </c>
      <c r="D5" s="104" t="s">
        <v>3</v>
      </c>
      <c r="E5" s="104" t="s">
        <v>4</v>
      </c>
      <c r="F5" s="104" t="s">
        <v>5</v>
      </c>
      <c r="G5" s="114" t="s">
        <v>277</v>
      </c>
      <c r="H5" s="114"/>
      <c r="I5" s="142" t="s">
        <v>291</v>
      </c>
      <c r="J5" s="142"/>
      <c r="K5" s="142"/>
      <c r="L5" s="135" t="s">
        <v>290</v>
      </c>
      <c r="M5" s="139" t="s">
        <v>292</v>
      </c>
      <c r="N5" s="139"/>
      <c r="O5" s="139"/>
      <c r="P5" s="139"/>
      <c r="Q5" s="144" t="s">
        <v>293</v>
      </c>
      <c r="R5" s="147" t="s">
        <v>294</v>
      </c>
      <c r="S5" s="130" t="s">
        <v>295</v>
      </c>
      <c r="T5" s="133" t="s">
        <v>296</v>
      </c>
      <c r="U5" s="133" t="s">
        <v>297</v>
      </c>
    </row>
    <row r="6" spans="1:22" ht="15.95" customHeight="1" thickTop="1" thickBot="1">
      <c r="A6" s="102"/>
      <c r="B6" s="105"/>
      <c r="C6" s="105"/>
      <c r="D6" s="105"/>
      <c r="E6" s="105"/>
      <c r="F6" s="105"/>
      <c r="G6" s="118" t="s">
        <v>156</v>
      </c>
      <c r="H6" s="120" t="s">
        <v>157</v>
      </c>
      <c r="I6" s="135" t="s">
        <v>298</v>
      </c>
      <c r="J6" s="135" t="s">
        <v>299</v>
      </c>
      <c r="K6" s="137" t="s">
        <v>300</v>
      </c>
      <c r="L6" s="143"/>
      <c r="M6" s="139" t="s">
        <v>152</v>
      </c>
      <c r="N6" s="140"/>
      <c r="O6" s="141" t="s">
        <v>153</v>
      </c>
      <c r="P6" s="139"/>
      <c r="Q6" s="145"/>
      <c r="R6" s="148"/>
      <c r="S6" s="131"/>
      <c r="T6" s="134"/>
      <c r="U6" s="134"/>
    </row>
    <row r="7" spans="1:22" ht="30" customHeight="1" thickTop="1" thickBot="1">
      <c r="A7" s="103"/>
      <c r="B7" s="106"/>
      <c r="C7" s="106"/>
      <c r="D7" s="106"/>
      <c r="E7" s="106"/>
      <c r="F7" s="106"/>
      <c r="G7" s="119"/>
      <c r="H7" s="121"/>
      <c r="I7" s="136"/>
      <c r="J7" s="136"/>
      <c r="K7" s="138"/>
      <c r="L7" s="136"/>
      <c r="M7" s="93" t="s">
        <v>154</v>
      </c>
      <c r="N7" s="64" t="s">
        <v>155</v>
      </c>
      <c r="O7" s="64" t="s">
        <v>154</v>
      </c>
      <c r="P7" s="95" t="s">
        <v>155</v>
      </c>
      <c r="Q7" s="146"/>
      <c r="R7" s="148"/>
      <c r="S7" s="132"/>
      <c r="T7" s="134"/>
      <c r="U7" s="134"/>
    </row>
    <row r="8" spans="1:22" ht="71.25" customHeight="1">
      <c r="A8" s="107" t="s">
        <v>6</v>
      </c>
      <c r="B8" s="107" t="s">
        <v>7</v>
      </c>
      <c r="C8" s="22" t="s">
        <v>8</v>
      </c>
      <c r="D8" s="22" t="s">
        <v>9</v>
      </c>
      <c r="E8" s="22" t="s">
        <v>10</v>
      </c>
      <c r="F8" s="22" t="s">
        <v>11</v>
      </c>
      <c r="G8" s="59">
        <v>3</v>
      </c>
      <c r="H8" s="59">
        <v>2</v>
      </c>
      <c r="I8" s="92">
        <v>0</v>
      </c>
      <c r="J8" s="92">
        <v>0</v>
      </c>
      <c r="K8" s="92">
        <v>0</v>
      </c>
      <c r="L8" s="94">
        <v>0</v>
      </c>
      <c r="M8" s="77"/>
      <c r="N8" s="77"/>
      <c r="O8" s="77"/>
      <c r="P8" s="77"/>
      <c r="Q8" s="96" t="s">
        <v>311</v>
      </c>
      <c r="R8" s="66">
        <v>0</v>
      </c>
      <c r="S8" s="77"/>
      <c r="T8" s="77"/>
      <c r="U8" s="89" t="s">
        <v>356</v>
      </c>
    </row>
    <row r="9" spans="1:22" ht="79.5" customHeight="1">
      <c r="A9" s="108"/>
      <c r="B9" s="108"/>
      <c r="C9" s="109" t="s">
        <v>12</v>
      </c>
      <c r="D9" s="23" t="s">
        <v>13</v>
      </c>
      <c r="E9" s="23" t="s">
        <v>14</v>
      </c>
      <c r="F9" s="24" t="s">
        <v>15</v>
      </c>
      <c r="G9" s="25">
        <v>1</v>
      </c>
      <c r="H9" s="25">
        <v>1</v>
      </c>
      <c r="I9" s="65">
        <v>0</v>
      </c>
      <c r="J9" s="65">
        <v>0</v>
      </c>
      <c r="K9" s="65">
        <v>0</v>
      </c>
      <c r="L9" s="66">
        <v>0</v>
      </c>
      <c r="M9" s="77"/>
      <c r="N9" s="77"/>
      <c r="O9" s="77"/>
      <c r="P9" s="77"/>
      <c r="Q9" s="79" t="s">
        <v>312</v>
      </c>
      <c r="R9" s="66">
        <v>0</v>
      </c>
      <c r="S9" s="77"/>
      <c r="T9" s="77"/>
      <c r="U9" s="89" t="s">
        <v>356</v>
      </c>
    </row>
    <row r="10" spans="1:22" ht="66">
      <c r="A10" s="108"/>
      <c r="B10" s="108"/>
      <c r="C10" s="109"/>
      <c r="D10" s="23" t="s">
        <v>16</v>
      </c>
      <c r="E10" s="23" t="s">
        <v>17</v>
      </c>
      <c r="F10" s="23" t="s">
        <v>18</v>
      </c>
      <c r="G10" s="26">
        <v>302</v>
      </c>
      <c r="H10" s="27">
        <v>0.15</v>
      </c>
      <c r="I10" s="65">
        <v>653</v>
      </c>
      <c r="J10" s="65">
        <v>0</v>
      </c>
      <c r="K10" s="65">
        <f>640+26</f>
        <v>666</v>
      </c>
      <c r="L10" s="66">
        <v>1</v>
      </c>
      <c r="M10" s="77"/>
      <c r="N10" s="77"/>
      <c r="O10" s="77"/>
      <c r="P10" s="77"/>
      <c r="Q10" s="79" t="s">
        <v>314</v>
      </c>
      <c r="R10" s="66">
        <v>1</v>
      </c>
      <c r="S10" s="77"/>
      <c r="T10" s="77"/>
      <c r="U10" s="89" t="s">
        <v>356</v>
      </c>
    </row>
    <row r="11" spans="1:22" ht="66">
      <c r="A11" s="108"/>
      <c r="B11" s="108"/>
      <c r="C11" s="23" t="s">
        <v>19</v>
      </c>
      <c r="D11" s="23" t="s">
        <v>20</v>
      </c>
      <c r="E11" s="23" t="s">
        <v>21</v>
      </c>
      <c r="F11" s="23" t="s">
        <v>15</v>
      </c>
      <c r="G11" s="25">
        <v>0</v>
      </c>
      <c r="H11" s="27">
        <v>0.15</v>
      </c>
      <c r="I11" s="66">
        <v>0.15</v>
      </c>
      <c r="J11" s="65">
        <v>0</v>
      </c>
      <c r="K11" s="65">
        <v>0</v>
      </c>
      <c r="L11" s="66">
        <v>1</v>
      </c>
      <c r="M11" s="77"/>
      <c r="N11" s="77"/>
      <c r="O11" s="77"/>
      <c r="P11" s="77"/>
      <c r="Q11" s="79" t="s">
        <v>313</v>
      </c>
      <c r="R11" s="66">
        <v>1</v>
      </c>
      <c r="S11" s="77"/>
      <c r="T11" s="77"/>
      <c r="U11" s="89" t="s">
        <v>356</v>
      </c>
    </row>
    <row r="12" spans="1:22" ht="66">
      <c r="A12" s="108"/>
      <c r="B12" s="108"/>
      <c r="C12" s="23" t="s">
        <v>22</v>
      </c>
      <c r="D12" s="23" t="s">
        <v>23</v>
      </c>
      <c r="E12" s="23" t="s">
        <v>24</v>
      </c>
      <c r="F12" s="23" t="s">
        <v>25</v>
      </c>
      <c r="G12" s="25">
        <v>2</v>
      </c>
      <c r="H12" s="25">
        <v>2</v>
      </c>
      <c r="I12" s="65">
        <v>0</v>
      </c>
      <c r="J12" s="65">
        <v>0</v>
      </c>
      <c r="K12" s="65">
        <v>0</v>
      </c>
      <c r="L12" s="66">
        <v>0</v>
      </c>
      <c r="M12" s="77"/>
      <c r="N12" s="77"/>
      <c r="O12" s="77"/>
      <c r="P12" s="77"/>
      <c r="Q12" s="79" t="s">
        <v>315</v>
      </c>
      <c r="R12" s="66">
        <v>0</v>
      </c>
      <c r="S12" s="77"/>
      <c r="T12" s="77"/>
      <c r="U12" s="89" t="s">
        <v>356</v>
      </c>
    </row>
    <row r="13" spans="1:22" ht="83.25" customHeight="1">
      <c r="A13" s="108"/>
      <c r="B13" s="108"/>
      <c r="C13" s="24" t="s">
        <v>26</v>
      </c>
      <c r="D13" s="24" t="s">
        <v>27</v>
      </c>
      <c r="E13" s="24" t="s">
        <v>28</v>
      </c>
      <c r="F13" s="23" t="s">
        <v>29</v>
      </c>
      <c r="G13" s="28">
        <f>271381040*(1+10%)</f>
        <v>298519144</v>
      </c>
      <c r="H13" s="27">
        <v>0.11</v>
      </c>
      <c r="I13" s="67">
        <v>252411453</v>
      </c>
      <c r="J13" s="68">
        <v>12226089</v>
      </c>
      <c r="K13" s="74">
        <v>601782978</v>
      </c>
      <c r="L13" s="66">
        <v>1</v>
      </c>
      <c r="M13" s="77"/>
      <c r="N13" s="77"/>
      <c r="O13" s="77"/>
      <c r="P13" s="77"/>
      <c r="Q13" s="87" t="s">
        <v>333</v>
      </c>
      <c r="R13" s="66">
        <v>1</v>
      </c>
      <c r="S13" s="77"/>
      <c r="T13" s="77"/>
      <c r="U13" s="89" t="s">
        <v>356</v>
      </c>
    </row>
    <row r="14" spans="1:22" ht="48.75" customHeight="1">
      <c r="A14" s="108"/>
      <c r="B14" s="108"/>
      <c r="C14" s="24" t="s">
        <v>30</v>
      </c>
      <c r="D14" s="24" t="s">
        <v>31</v>
      </c>
      <c r="E14" s="24" t="s">
        <v>32</v>
      </c>
      <c r="F14" s="24" t="s">
        <v>33</v>
      </c>
      <c r="G14" s="23">
        <v>0</v>
      </c>
      <c r="H14" s="23">
        <v>1</v>
      </c>
      <c r="I14" s="65">
        <v>0</v>
      </c>
      <c r="J14" s="65">
        <v>0</v>
      </c>
      <c r="K14" s="65">
        <v>0</v>
      </c>
      <c r="L14" s="66">
        <v>0</v>
      </c>
      <c r="M14" s="77"/>
      <c r="N14" s="77"/>
      <c r="O14" s="77"/>
      <c r="P14" s="77"/>
      <c r="Q14" s="79" t="s">
        <v>316</v>
      </c>
      <c r="R14" s="66">
        <v>0</v>
      </c>
      <c r="S14" s="77"/>
      <c r="T14" s="77"/>
      <c r="U14" s="89" t="s">
        <v>356</v>
      </c>
    </row>
    <row r="15" spans="1:22" ht="132">
      <c r="A15" s="108"/>
      <c r="B15" s="108"/>
      <c r="C15" s="24" t="s">
        <v>34</v>
      </c>
      <c r="D15" s="24" t="s">
        <v>35</v>
      </c>
      <c r="E15" s="24" t="s">
        <v>36</v>
      </c>
      <c r="F15" s="24" t="s">
        <v>37</v>
      </c>
      <c r="G15" s="29">
        <v>0.25</v>
      </c>
      <c r="H15" s="29">
        <v>0.5</v>
      </c>
      <c r="I15" s="65">
        <v>0</v>
      </c>
      <c r="J15" s="65">
        <v>0</v>
      </c>
      <c r="K15" s="65">
        <v>0</v>
      </c>
      <c r="L15" s="66">
        <v>0</v>
      </c>
      <c r="M15" s="77"/>
      <c r="N15" s="77"/>
      <c r="O15" s="77"/>
      <c r="P15" s="77"/>
      <c r="Q15" s="77"/>
      <c r="R15" s="66">
        <v>0</v>
      </c>
      <c r="S15" s="77"/>
      <c r="T15" s="77"/>
      <c r="U15" s="89" t="s">
        <v>357</v>
      </c>
    </row>
    <row r="16" spans="1:22" ht="132">
      <c r="A16" s="108"/>
      <c r="B16" s="108"/>
      <c r="C16" s="30" t="s">
        <v>38</v>
      </c>
      <c r="D16" s="23" t="s">
        <v>39</v>
      </c>
      <c r="E16" s="30" t="s">
        <v>40</v>
      </c>
      <c r="F16" s="30" t="s">
        <v>41</v>
      </c>
      <c r="G16" s="24">
        <v>88</v>
      </c>
      <c r="H16" s="24">
        <v>90</v>
      </c>
      <c r="I16" s="65">
        <v>85</v>
      </c>
      <c r="J16" s="65">
        <v>0</v>
      </c>
      <c r="K16" s="65">
        <v>0</v>
      </c>
      <c r="L16" s="69">
        <f>I16/H16</f>
        <v>0.94444444444444442</v>
      </c>
      <c r="M16" s="77"/>
      <c r="N16" s="77"/>
      <c r="O16" s="77"/>
      <c r="P16" s="77"/>
      <c r="Q16" s="77" t="s">
        <v>331</v>
      </c>
      <c r="R16" s="69">
        <v>0.94</v>
      </c>
      <c r="S16" s="77"/>
      <c r="T16" s="77"/>
      <c r="U16" s="89" t="s">
        <v>357</v>
      </c>
    </row>
    <row r="17" spans="1:21" ht="66">
      <c r="A17" s="108"/>
      <c r="B17" s="108"/>
      <c r="C17" s="24" t="s">
        <v>42</v>
      </c>
      <c r="D17" s="24" t="s">
        <v>43</v>
      </c>
      <c r="E17" s="24" t="s">
        <v>44</v>
      </c>
      <c r="F17" s="24" t="s">
        <v>44</v>
      </c>
      <c r="G17" s="24">
        <v>0</v>
      </c>
      <c r="H17" s="24">
        <v>1</v>
      </c>
      <c r="I17" s="65">
        <v>0</v>
      </c>
      <c r="J17" s="65">
        <v>0</v>
      </c>
      <c r="K17" s="65">
        <v>1</v>
      </c>
      <c r="L17" s="66">
        <v>1</v>
      </c>
      <c r="M17" s="77"/>
      <c r="N17" s="77"/>
      <c r="O17" s="77"/>
      <c r="P17" s="77"/>
      <c r="Q17" s="77" t="s">
        <v>317</v>
      </c>
      <c r="R17" s="66">
        <v>1</v>
      </c>
      <c r="S17" s="77"/>
      <c r="T17" s="77"/>
      <c r="U17" s="89" t="s">
        <v>356</v>
      </c>
    </row>
    <row r="18" spans="1:21" ht="230.25" customHeight="1">
      <c r="A18" s="31" t="s">
        <v>45</v>
      </c>
      <c r="B18" s="31" t="s">
        <v>46</v>
      </c>
      <c r="C18" s="23" t="s">
        <v>47</v>
      </c>
      <c r="D18" s="23" t="s">
        <v>48</v>
      </c>
      <c r="E18" s="23" t="s">
        <v>49</v>
      </c>
      <c r="F18" s="23" t="s">
        <v>50</v>
      </c>
      <c r="G18" s="27">
        <v>0.8</v>
      </c>
      <c r="H18" s="27">
        <v>0.82</v>
      </c>
      <c r="I18" s="69">
        <f>3/12</f>
        <v>0.25</v>
      </c>
      <c r="J18" s="69">
        <f>1/12</f>
        <v>8.3333333333333329E-2</v>
      </c>
      <c r="K18" s="69">
        <f>2/12</f>
        <v>0.16666666666666666</v>
      </c>
      <c r="L18" s="66">
        <f>(K18+J18+I18)/H18</f>
        <v>0.6097560975609756</v>
      </c>
      <c r="M18" s="77"/>
      <c r="N18" s="77"/>
      <c r="O18" s="77"/>
      <c r="P18" s="77"/>
      <c r="Q18" s="79" t="s">
        <v>332</v>
      </c>
      <c r="R18" s="66">
        <v>0.61</v>
      </c>
      <c r="S18" s="77"/>
      <c r="T18" s="77"/>
      <c r="U18" s="90" t="s">
        <v>358</v>
      </c>
    </row>
    <row r="19" spans="1:21" ht="99">
      <c r="A19" s="108" t="s">
        <v>51</v>
      </c>
      <c r="B19" s="108" t="s">
        <v>52</v>
      </c>
      <c r="C19" s="109" t="s">
        <v>53</v>
      </c>
      <c r="D19" s="109" t="s">
        <v>54</v>
      </c>
      <c r="E19" s="24" t="s">
        <v>55</v>
      </c>
      <c r="F19" s="60" t="s">
        <v>56</v>
      </c>
      <c r="G19" s="27">
        <v>0.3</v>
      </c>
      <c r="H19" s="27">
        <v>0.4</v>
      </c>
      <c r="I19" s="70">
        <f>6/34</f>
        <v>0.17647058823529413</v>
      </c>
      <c r="J19" s="70">
        <f>6/34</f>
        <v>0.17647058823529413</v>
      </c>
      <c r="K19" s="69">
        <f>4/34</f>
        <v>0.11764705882352941</v>
      </c>
      <c r="L19" s="66">
        <v>1</v>
      </c>
      <c r="M19" s="77"/>
      <c r="N19" s="77"/>
      <c r="O19" s="77"/>
      <c r="P19" s="77"/>
      <c r="Q19" s="77"/>
      <c r="R19" s="66">
        <v>1</v>
      </c>
      <c r="S19" s="77"/>
      <c r="T19" s="77"/>
      <c r="U19" s="89" t="s">
        <v>359</v>
      </c>
    </row>
    <row r="20" spans="1:21" ht="99">
      <c r="A20" s="110"/>
      <c r="B20" s="108"/>
      <c r="C20" s="109"/>
      <c r="D20" s="109"/>
      <c r="E20" s="23" t="s">
        <v>57</v>
      </c>
      <c r="F20" s="23" t="s">
        <v>58</v>
      </c>
      <c r="G20" s="27">
        <v>0.2</v>
      </c>
      <c r="H20" s="27">
        <v>0.4</v>
      </c>
      <c r="I20" s="65">
        <v>0</v>
      </c>
      <c r="J20" s="65">
        <v>0</v>
      </c>
      <c r="K20" s="65">
        <v>0</v>
      </c>
      <c r="L20" s="66">
        <v>0</v>
      </c>
      <c r="M20" s="77"/>
      <c r="N20" s="77"/>
      <c r="O20" s="77"/>
      <c r="P20" s="77"/>
      <c r="Q20" s="77"/>
      <c r="R20" s="66">
        <v>0</v>
      </c>
      <c r="S20" s="77"/>
      <c r="T20" s="77"/>
      <c r="U20" s="89" t="s">
        <v>359</v>
      </c>
    </row>
    <row r="21" spans="1:21" ht="99">
      <c r="A21" s="110"/>
      <c r="B21" s="108"/>
      <c r="C21" s="23" t="s">
        <v>59</v>
      </c>
      <c r="D21" s="23" t="s">
        <v>60</v>
      </c>
      <c r="E21" s="23" t="s">
        <v>61</v>
      </c>
      <c r="F21" s="23" t="s">
        <v>62</v>
      </c>
      <c r="G21" s="61">
        <f>31370100*(1+15%)</f>
        <v>36075615</v>
      </c>
      <c r="H21" s="27">
        <v>0.2</v>
      </c>
      <c r="I21" s="74">
        <v>11823500</v>
      </c>
      <c r="J21" s="71">
        <f>26083500-I21</f>
        <v>14260000</v>
      </c>
      <c r="K21" s="71">
        <f>38299627-I21-J21</f>
        <v>12216127</v>
      </c>
      <c r="L21" s="66">
        <v>1</v>
      </c>
      <c r="M21" s="77"/>
      <c r="N21" s="77"/>
      <c r="O21" s="77"/>
      <c r="P21" s="77"/>
      <c r="Q21" s="77"/>
      <c r="R21" s="66">
        <v>1</v>
      </c>
      <c r="S21" s="77"/>
      <c r="T21" s="77"/>
      <c r="U21" s="89" t="s">
        <v>359</v>
      </c>
    </row>
    <row r="22" spans="1:21" ht="99">
      <c r="A22" s="110"/>
      <c r="B22" s="108"/>
      <c r="C22" s="109" t="s">
        <v>52</v>
      </c>
      <c r="D22" s="23" t="s">
        <v>63</v>
      </c>
      <c r="E22" s="24" t="s">
        <v>64</v>
      </c>
      <c r="F22" s="24" t="s">
        <v>65</v>
      </c>
      <c r="G22" s="25">
        <v>60</v>
      </c>
      <c r="H22" s="25">
        <v>70</v>
      </c>
      <c r="I22" s="65">
        <v>19</v>
      </c>
      <c r="J22" s="65">
        <v>19</v>
      </c>
      <c r="K22" s="65">
        <f>25+9</f>
        <v>34</v>
      </c>
      <c r="L22" s="66">
        <v>1</v>
      </c>
      <c r="M22" s="77"/>
      <c r="N22" s="77"/>
      <c r="O22" s="77"/>
      <c r="P22" s="77"/>
      <c r="Q22" s="78" t="s">
        <v>301</v>
      </c>
      <c r="R22" s="66">
        <v>1</v>
      </c>
      <c r="S22" s="77"/>
      <c r="T22" s="77"/>
      <c r="U22" s="89" t="s">
        <v>359</v>
      </c>
    </row>
    <row r="23" spans="1:21" ht="99">
      <c r="A23" s="110"/>
      <c r="B23" s="108"/>
      <c r="C23" s="109"/>
      <c r="D23" s="62" t="s">
        <v>66</v>
      </c>
      <c r="E23" s="62" t="s">
        <v>67</v>
      </c>
      <c r="F23" s="62" t="s">
        <v>68</v>
      </c>
      <c r="G23" s="25">
        <v>120</v>
      </c>
      <c r="H23" s="27">
        <v>0.2</v>
      </c>
      <c r="I23" s="72">
        <v>643</v>
      </c>
      <c r="J23" s="72">
        <v>643</v>
      </c>
      <c r="K23" s="65">
        <v>643</v>
      </c>
      <c r="L23" s="66">
        <v>1</v>
      </c>
      <c r="M23" s="77"/>
      <c r="N23" s="77"/>
      <c r="O23" s="77"/>
      <c r="P23" s="77"/>
      <c r="Q23" s="77"/>
      <c r="R23" s="66">
        <v>1</v>
      </c>
      <c r="S23" s="77"/>
      <c r="T23" s="77"/>
      <c r="U23" s="89" t="s">
        <v>359</v>
      </c>
    </row>
    <row r="24" spans="1:21" ht="111" customHeight="1">
      <c r="A24" s="110"/>
      <c r="B24" s="108"/>
      <c r="C24" s="109"/>
      <c r="D24" s="62" t="s">
        <v>69</v>
      </c>
      <c r="E24" s="63" t="s">
        <v>70</v>
      </c>
      <c r="F24" s="63" t="s">
        <v>15</v>
      </c>
      <c r="G24" s="27">
        <v>0.5</v>
      </c>
      <c r="H24" s="27">
        <v>0.5</v>
      </c>
      <c r="I24" s="65">
        <v>0</v>
      </c>
      <c r="J24" s="65">
        <v>0</v>
      </c>
      <c r="K24" s="69">
        <f>4/9</f>
        <v>0.44444444444444442</v>
      </c>
      <c r="L24" s="66">
        <f>(K24*100%)/H24</f>
        <v>0.88888888888888884</v>
      </c>
      <c r="M24" s="77"/>
      <c r="N24" s="77"/>
      <c r="O24" s="77"/>
      <c r="P24" s="77"/>
      <c r="Q24" s="79" t="s">
        <v>303</v>
      </c>
      <c r="R24" s="66">
        <v>0.89</v>
      </c>
      <c r="S24" s="77"/>
      <c r="T24" s="77"/>
      <c r="U24" s="89" t="s">
        <v>359</v>
      </c>
    </row>
    <row r="25" spans="1:21" ht="99">
      <c r="A25" s="110"/>
      <c r="B25" s="108"/>
      <c r="C25" s="23" t="s">
        <v>71</v>
      </c>
      <c r="D25" s="23" t="s">
        <v>72</v>
      </c>
      <c r="E25" s="23" t="s">
        <v>73</v>
      </c>
      <c r="F25" s="23" t="s">
        <v>74</v>
      </c>
      <c r="G25" s="25">
        <v>171</v>
      </c>
      <c r="H25" s="25">
        <v>257</v>
      </c>
      <c r="I25" s="65">
        <v>78</v>
      </c>
      <c r="J25" s="65">
        <v>57</v>
      </c>
      <c r="K25" s="65">
        <v>70</v>
      </c>
      <c r="L25" s="69">
        <f>(K25+J25+I25)/H25</f>
        <v>0.7976653696498055</v>
      </c>
      <c r="M25" s="77"/>
      <c r="N25" s="77"/>
      <c r="O25" s="77"/>
      <c r="P25" s="77"/>
      <c r="Q25" s="80" t="s">
        <v>302</v>
      </c>
      <c r="R25" s="69">
        <v>0.8</v>
      </c>
      <c r="S25" s="77"/>
      <c r="T25" s="77"/>
      <c r="U25" s="89" t="s">
        <v>359</v>
      </c>
    </row>
    <row r="26" spans="1:21" ht="103.5" customHeight="1">
      <c r="A26" s="108" t="s">
        <v>75</v>
      </c>
      <c r="B26" s="108" t="s">
        <v>76</v>
      </c>
      <c r="C26" s="109" t="s">
        <v>77</v>
      </c>
      <c r="D26" s="23" t="s">
        <v>78</v>
      </c>
      <c r="E26" s="23" t="s">
        <v>79</v>
      </c>
      <c r="F26" s="23" t="s">
        <v>80</v>
      </c>
      <c r="G26" s="25">
        <v>1</v>
      </c>
      <c r="H26" s="25">
        <v>1</v>
      </c>
      <c r="I26" s="65">
        <v>1</v>
      </c>
      <c r="J26" s="65">
        <v>1</v>
      </c>
      <c r="K26" s="65">
        <v>1</v>
      </c>
      <c r="L26" s="84">
        <v>1</v>
      </c>
      <c r="M26" s="77"/>
      <c r="N26" s="77"/>
      <c r="O26" s="77"/>
      <c r="P26" s="77"/>
      <c r="Q26" s="79" t="s">
        <v>309</v>
      </c>
      <c r="R26" s="84">
        <v>1</v>
      </c>
      <c r="S26" s="77"/>
      <c r="T26" s="77"/>
      <c r="U26" s="89" t="s">
        <v>360</v>
      </c>
    </row>
    <row r="27" spans="1:21" ht="144" customHeight="1">
      <c r="A27" s="110"/>
      <c r="B27" s="110"/>
      <c r="C27" s="111"/>
      <c r="D27" s="23" t="s">
        <v>81</v>
      </c>
      <c r="E27" s="23" t="s">
        <v>82</v>
      </c>
      <c r="F27" s="23" t="s">
        <v>83</v>
      </c>
      <c r="G27" s="25">
        <v>6</v>
      </c>
      <c r="H27" s="25">
        <v>6</v>
      </c>
      <c r="I27" s="65">
        <v>1</v>
      </c>
      <c r="J27" s="65">
        <v>2</v>
      </c>
      <c r="K27" s="65">
        <v>2</v>
      </c>
      <c r="L27" s="69">
        <f>(I27+J27+K27)/H27</f>
        <v>0.83333333333333337</v>
      </c>
      <c r="M27" s="77"/>
      <c r="N27" s="77"/>
      <c r="O27" s="77"/>
      <c r="P27" s="77"/>
      <c r="Q27" s="80" t="s">
        <v>308</v>
      </c>
      <c r="R27" s="69">
        <v>0.83</v>
      </c>
      <c r="S27" s="77"/>
      <c r="T27" s="77"/>
      <c r="U27" s="89" t="s">
        <v>360</v>
      </c>
    </row>
    <row r="28" spans="1:21" ht="147" customHeight="1">
      <c r="A28" s="110"/>
      <c r="B28" s="110"/>
      <c r="C28" s="111"/>
      <c r="D28" s="23" t="s">
        <v>84</v>
      </c>
      <c r="E28" s="23" t="s">
        <v>85</v>
      </c>
      <c r="F28" s="23" t="s">
        <v>86</v>
      </c>
      <c r="G28" s="25">
        <v>7</v>
      </c>
      <c r="H28" s="25">
        <v>9</v>
      </c>
      <c r="I28" s="65">
        <v>0</v>
      </c>
      <c r="J28" s="65">
        <v>3</v>
      </c>
      <c r="K28" s="65">
        <v>2</v>
      </c>
      <c r="L28" s="69">
        <f>(I28+J28+K28)/H28</f>
        <v>0.55555555555555558</v>
      </c>
      <c r="M28" s="77"/>
      <c r="N28" s="77"/>
      <c r="O28" s="77"/>
      <c r="P28" s="77"/>
      <c r="Q28" s="80" t="s">
        <v>310</v>
      </c>
      <c r="R28" s="69">
        <v>0.56000000000000005</v>
      </c>
      <c r="S28" s="77"/>
      <c r="T28" s="77"/>
      <c r="U28" s="89" t="s">
        <v>360</v>
      </c>
    </row>
    <row r="29" spans="1:21" ht="73.5" customHeight="1">
      <c r="A29" s="110"/>
      <c r="B29" s="110"/>
      <c r="C29" s="23" t="s">
        <v>87</v>
      </c>
      <c r="D29" s="23" t="s">
        <v>88</v>
      </c>
      <c r="E29" s="23" t="s">
        <v>89</v>
      </c>
      <c r="F29" s="23" t="s">
        <v>90</v>
      </c>
      <c r="G29" s="32">
        <v>20270170</v>
      </c>
      <c r="H29" s="28">
        <v>24324204</v>
      </c>
      <c r="I29" s="73">
        <v>13306000</v>
      </c>
      <c r="J29" s="74">
        <v>5482100</v>
      </c>
      <c r="K29" s="74">
        <v>22098600</v>
      </c>
      <c r="L29" s="69">
        <v>1</v>
      </c>
      <c r="M29" s="77"/>
      <c r="N29" s="77"/>
      <c r="O29" s="77"/>
      <c r="P29" s="77"/>
      <c r="Q29" s="77"/>
      <c r="R29" s="69">
        <v>1</v>
      </c>
      <c r="S29" s="77"/>
      <c r="T29" s="77"/>
      <c r="U29" s="89" t="s">
        <v>360</v>
      </c>
    </row>
    <row r="30" spans="1:21" ht="110.25" customHeight="1">
      <c r="A30" s="31" t="s">
        <v>91</v>
      </c>
      <c r="B30" s="31" t="s">
        <v>92</v>
      </c>
      <c r="C30" s="23" t="s">
        <v>93</v>
      </c>
      <c r="D30" s="23" t="s">
        <v>94</v>
      </c>
      <c r="E30" s="23" t="s">
        <v>95</v>
      </c>
      <c r="F30" s="23" t="s">
        <v>96</v>
      </c>
      <c r="G30" s="25">
        <v>7</v>
      </c>
      <c r="H30" s="25">
        <v>9</v>
      </c>
      <c r="I30" s="65">
        <v>0</v>
      </c>
      <c r="J30" s="65">
        <v>2</v>
      </c>
      <c r="K30" s="65">
        <v>2</v>
      </c>
      <c r="L30" s="69">
        <f>4/H30</f>
        <v>0.44444444444444442</v>
      </c>
      <c r="M30" s="77"/>
      <c r="N30" s="77"/>
      <c r="O30" s="77"/>
      <c r="P30" s="77"/>
      <c r="Q30" s="79" t="s">
        <v>334</v>
      </c>
      <c r="R30" s="69">
        <v>0.44</v>
      </c>
      <c r="S30" s="77"/>
      <c r="T30" s="77"/>
      <c r="U30" s="90" t="s">
        <v>361</v>
      </c>
    </row>
    <row r="31" spans="1:21" ht="252.95" customHeight="1">
      <c r="A31" s="108" t="s">
        <v>97</v>
      </c>
      <c r="B31" s="108" t="s">
        <v>98</v>
      </c>
      <c r="C31" s="109" t="s">
        <v>99</v>
      </c>
      <c r="D31" s="23" t="s">
        <v>318</v>
      </c>
      <c r="E31" s="109" t="s">
        <v>100</v>
      </c>
      <c r="F31" s="109" t="s">
        <v>101</v>
      </c>
      <c r="G31" s="115">
        <v>0.25</v>
      </c>
      <c r="H31" s="115">
        <v>0.5</v>
      </c>
      <c r="I31" s="75">
        <f>5/13</f>
        <v>0.38461538461538464</v>
      </c>
      <c r="J31" s="69">
        <f>3/13</f>
        <v>0.23076923076923078</v>
      </c>
      <c r="K31" s="69">
        <f>4/13</f>
        <v>0.30769230769230771</v>
      </c>
      <c r="L31" s="66">
        <f>MIN((K32+J32+I32)/$H$31,100%)</f>
        <v>1</v>
      </c>
      <c r="M31" s="77"/>
      <c r="N31" s="77"/>
      <c r="O31" s="77"/>
      <c r="P31" s="77"/>
      <c r="Q31" s="85" t="s">
        <v>324</v>
      </c>
      <c r="R31" s="66">
        <f>MIN((Q32+P32+O32)/$H$31,100%)</f>
        <v>0</v>
      </c>
      <c r="S31" s="77"/>
      <c r="T31" s="77"/>
      <c r="U31" s="90" t="s">
        <v>362</v>
      </c>
    </row>
    <row r="32" spans="1:21" ht="120" customHeight="1">
      <c r="A32" s="108"/>
      <c r="B32" s="108"/>
      <c r="C32" s="109"/>
      <c r="D32" s="23" t="s">
        <v>102</v>
      </c>
      <c r="E32" s="109"/>
      <c r="F32" s="109"/>
      <c r="G32" s="116"/>
      <c r="H32" s="116"/>
      <c r="I32" s="75">
        <f>0/8</f>
        <v>0</v>
      </c>
      <c r="J32" s="69">
        <f>1/8</f>
        <v>0.125</v>
      </c>
      <c r="K32" s="69">
        <f>4/8</f>
        <v>0.5</v>
      </c>
      <c r="L32" s="66">
        <f>MIN((K32+J32+I32)/$H$31,100%)</f>
        <v>1</v>
      </c>
      <c r="M32" s="77"/>
      <c r="N32" s="77"/>
      <c r="O32" s="77"/>
      <c r="P32" s="77"/>
      <c r="Q32" s="77"/>
      <c r="R32" s="66">
        <f>MIN((Q32+P32+O32)/$H$31,100%)</f>
        <v>0</v>
      </c>
      <c r="S32" s="77"/>
      <c r="T32" s="77"/>
      <c r="U32" s="90" t="s">
        <v>362</v>
      </c>
    </row>
    <row r="33" spans="1:21" ht="72.95" customHeight="1">
      <c r="A33" s="108"/>
      <c r="B33" s="108"/>
      <c r="C33" s="109"/>
      <c r="D33" s="23" t="s">
        <v>103</v>
      </c>
      <c r="E33" s="109"/>
      <c r="F33" s="109"/>
      <c r="G33" s="116"/>
      <c r="H33" s="116"/>
      <c r="I33" s="75">
        <f>5/18</f>
        <v>0.27777777777777779</v>
      </c>
      <c r="J33" s="69">
        <f>2/18</f>
        <v>0.1111111111111111</v>
      </c>
      <c r="K33" s="69">
        <f>10/18</f>
        <v>0.55555555555555558</v>
      </c>
      <c r="L33" s="66">
        <f>MIN((K32+J32+I32)/$H$31,100%)</f>
        <v>1</v>
      </c>
      <c r="M33" s="77"/>
      <c r="N33" s="77"/>
      <c r="O33" s="77"/>
      <c r="P33" s="77"/>
      <c r="Q33" s="77"/>
      <c r="R33" s="66">
        <f>MIN((Q32+P32+O32)/$H$31,100%)</f>
        <v>0</v>
      </c>
      <c r="S33" s="77"/>
      <c r="T33" s="77"/>
      <c r="U33" s="90" t="s">
        <v>362</v>
      </c>
    </row>
    <row r="34" spans="1:21" ht="72.95" customHeight="1">
      <c r="A34" s="108"/>
      <c r="B34" s="108"/>
      <c r="C34" s="109"/>
      <c r="D34" s="23" t="s">
        <v>104</v>
      </c>
      <c r="E34" s="109"/>
      <c r="F34" s="109"/>
      <c r="G34" s="116"/>
      <c r="H34" s="116"/>
      <c r="I34" s="76">
        <f>3/9</f>
        <v>0.33333333333333331</v>
      </c>
      <c r="J34" s="69">
        <f>2/9</f>
        <v>0.22222222222222221</v>
      </c>
      <c r="K34" s="69">
        <f>1/9</f>
        <v>0.1111111111111111</v>
      </c>
      <c r="L34" s="66">
        <f>MIN((K32+J32+I32)/$H$31,100%)</f>
        <v>1</v>
      </c>
      <c r="M34" s="77"/>
      <c r="N34" s="77"/>
      <c r="O34" s="77"/>
      <c r="P34" s="77"/>
      <c r="Q34" s="79" t="s">
        <v>343</v>
      </c>
      <c r="R34" s="66">
        <f>MIN((Q32+P32+O32)/$H$31,100%)</f>
        <v>0</v>
      </c>
      <c r="S34" s="77"/>
      <c r="T34" s="77"/>
      <c r="U34" s="90" t="s">
        <v>362</v>
      </c>
    </row>
    <row r="35" spans="1:21" ht="72.95" customHeight="1">
      <c r="A35" s="108"/>
      <c r="B35" s="108"/>
      <c r="C35" s="109"/>
      <c r="D35" s="23" t="s">
        <v>105</v>
      </c>
      <c r="E35" s="109"/>
      <c r="F35" s="109"/>
      <c r="G35" s="117"/>
      <c r="H35" s="117"/>
      <c r="I35" s="75">
        <f>4/11</f>
        <v>0.36363636363636365</v>
      </c>
      <c r="J35" s="69">
        <f>2/11</f>
        <v>0.18181818181818182</v>
      </c>
      <c r="K35" s="69">
        <f>3/11</f>
        <v>0.27272727272727271</v>
      </c>
      <c r="L35" s="66">
        <f>MIN((K32+J32+I32)/$H$31,100%)</f>
        <v>1</v>
      </c>
      <c r="M35" s="77"/>
      <c r="N35" s="77"/>
      <c r="O35" s="77"/>
      <c r="P35" s="77"/>
      <c r="Q35" s="77"/>
      <c r="R35" s="66">
        <f>MIN((Q32+P32+O32)/$H$31,100%)</f>
        <v>0</v>
      </c>
      <c r="S35" s="77"/>
      <c r="T35" s="77"/>
      <c r="U35" s="90" t="s">
        <v>362</v>
      </c>
    </row>
    <row r="36" spans="1:21" ht="159.94999999999999" customHeight="1">
      <c r="A36" s="110"/>
      <c r="B36" s="110"/>
      <c r="C36" s="109"/>
      <c r="D36" s="23" t="s">
        <v>106</v>
      </c>
      <c r="E36" s="24" t="s">
        <v>107</v>
      </c>
      <c r="F36" s="24" t="s">
        <v>108</v>
      </c>
      <c r="G36" s="26">
        <f>263*(1+50%)</f>
        <v>394.5</v>
      </c>
      <c r="H36" s="27">
        <v>0.6</v>
      </c>
      <c r="I36" s="65">
        <v>109</v>
      </c>
      <c r="J36" s="65">
        <v>29</v>
      </c>
      <c r="K36" s="65">
        <v>69</v>
      </c>
      <c r="L36" s="69">
        <f>((I36+J36+K36)/G36)/H36</f>
        <v>0.87452471482889749</v>
      </c>
      <c r="M36" s="77"/>
      <c r="N36" s="77"/>
      <c r="O36" s="77"/>
      <c r="P36" s="77"/>
      <c r="Q36" s="77"/>
      <c r="R36" s="69">
        <v>0.87</v>
      </c>
      <c r="S36" s="77"/>
      <c r="T36" s="77"/>
      <c r="U36" s="90" t="s">
        <v>362</v>
      </c>
    </row>
    <row r="37" spans="1:21" ht="63.75" customHeight="1">
      <c r="A37" s="110"/>
      <c r="B37" s="108" t="s">
        <v>109</v>
      </c>
      <c r="C37" s="109" t="s">
        <v>110</v>
      </c>
      <c r="D37" s="109" t="s">
        <v>111</v>
      </c>
      <c r="E37" s="23" t="s">
        <v>112</v>
      </c>
      <c r="F37" s="23" t="s">
        <v>113</v>
      </c>
      <c r="G37" s="27">
        <v>0.13</v>
      </c>
      <c r="H37" s="27">
        <v>0.13</v>
      </c>
      <c r="I37" s="66">
        <v>0.13</v>
      </c>
      <c r="J37" s="66">
        <v>0.13</v>
      </c>
      <c r="K37" s="66">
        <v>0.13</v>
      </c>
      <c r="L37" s="66">
        <v>1</v>
      </c>
      <c r="M37" s="77"/>
      <c r="N37" s="77"/>
      <c r="O37" s="77"/>
      <c r="P37" s="77"/>
      <c r="Q37" s="77"/>
      <c r="R37" s="66">
        <v>1</v>
      </c>
      <c r="S37" s="77"/>
      <c r="T37" s="77"/>
      <c r="U37" s="90" t="s">
        <v>362</v>
      </c>
    </row>
    <row r="38" spans="1:21" ht="124.5" customHeight="1">
      <c r="A38" s="110"/>
      <c r="B38" s="110"/>
      <c r="C38" s="109"/>
      <c r="D38" s="109"/>
      <c r="E38" s="23" t="s">
        <v>114</v>
      </c>
      <c r="F38" s="23" t="s">
        <v>115</v>
      </c>
      <c r="G38" s="27">
        <v>0.1</v>
      </c>
      <c r="H38" s="27">
        <v>0.3</v>
      </c>
      <c r="I38" s="66">
        <v>0</v>
      </c>
      <c r="J38" s="66">
        <v>0</v>
      </c>
      <c r="K38" s="66">
        <v>0</v>
      </c>
      <c r="L38" s="66">
        <v>0</v>
      </c>
      <c r="M38" s="77"/>
      <c r="N38" s="77"/>
      <c r="O38" s="77"/>
      <c r="P38" s="77"/>
      <c r="Q38" s="86" t="s">
        <v>325</v>
      </c>
      <c r="R38" s="66">
        <v>0</v>
      </c>
      <c r="S38" s="77"/>
      <c r="T38" s="77"/>
      <c r="U38" s="90" t="s">
        <v>362</v>
      </c>
    </row>
    <row r="39" spans="1:21" ht="300">
      <c r="A39" s="108" t="s">
        <v>116</v>
      </c>
      <c r="B39" s="108" t="s">
        <v>117</v>
      </c>
      <c r="C39" s="30" t="s">
        <v>118</v>
      </c>
      <c r="D39" s="30" t="s">
        <v>119</v>
      </c>
      <c r="E39" s="30" t="s">
        <v>120</v>
      </c>
      <c r="F39" s="30" t="s">
        <v>121</v>
      </c>
      <c r="G39" s="27">
        <v>0.63</v>
      </c>
      <c r="H39" s="27">
        <v>0.66</v>
      </c>
      <c r="I39" s="69">
        <f>5/11</f>
        <v>0.45454545454545453</v>
      </c>
      <c r="J39" s="69">
        <f>11/11</f>
        <v>1</v>
      </c>
      <c r="K39" s="69">
        <f>11/11</f>
        <v>1</v>
      </c>
      <c r="L39" s="69">
        <f>11/11</f>
        <v>1</v>
      </c>
      <c r="M39" s="77"/>
      <c r="N39" s="77"/>
      <c r="O39" s="77"/>
      <c r="P39" s="77"/>
      <c r="Q39" s="79" t="s">
        <v>322</v>
      </c>
      <c r="R39" s="69">
        <f>11/11</f>
        <v>1</v>
      </c>
      <c r="S39" s="77"/>
      <c r="T39" s="77"/>
      <c r="U39" s="90" t="s">
        <v>363</v>
      </c>
    </row>
    <row r="40" spans="1:21" ht="87" customHeight="1">
      <c r="A40" s="108"/>
      <c r="B40" s="108"/>
      <c r="C40" s="23" t="s">
        <v>122</v>
      </c>
      <c r="D40" s="82" t="s">
        <v>283</v>
      </c>
      <c r="E40" s="82" t="s">
        <v>123</v>
      </c>
      <c r="F40" s="82" t="s">
        <v>124</v>
      </c>
      <c r="G40" s="33">
        <v>0.1</v>
      </c>
      <c r="H40" s="34">
        <v>0.2</v>
      </c>
      <c r="I40" s="69">
        <f>11/23</f>
        <v>0.47826086956521741</v>
      </c>
      <c r="J40" s="69">
        <f>23/23</f>
        <v>1</v>
      </c>
      <c r="K40" s="69">
        <f>23/23</f>
        <v>1</v>
      </c>
      <c r="L40" s="69">
        <f>23/23</f>
        <v>1</v>
      </c>
      <c r="M40" s="77"/>
      <c r="N40" s="77"/>
      <c r="O40" s="77"/>
      <c r="P40" s="77"/>
      <c r="Q40" s="79" t="s">
        <v>319</v>
      </c>
      <c r="R40" s="69">
        <f>23/23</f>
        <v>1</v>
      </c>
      <c r="S40" s="77"/>
      <c r="T40" s="77"/>
      <c r="U40" s="90" t="s">
        <v>363</v>
      </c>
    </row>
    <row r="41" spans="1:21" ht="115.5">
      <c r="A41" s="108"/>
      <c r="B41" s="108"/>
      <c r="C41" s="112" t="s">
        <v>125</v>
      </c>
      <c r="D41" s="83" t="s">
        <v>284</v>
      </c>
      <c r="E41" s="83" t="s">
        <v>285</v>
      </c>
      <c r="F41" s="83" t="s">
        <v>286</v>
      </c>
      <c r="G41" s="81">
        <v>2</v>
      </c>
      <c r="H41" s="23">
        <v>2</v>
      </c>
      <c r="I41" s="65">
        <v>0</v>
      </c>
      <c r="J41" s="65">
        <v>1</v>
      </c>
      <c r="K41" s="65">
        <v>0</v>
      </c>
      <c r="L41" s="66">
        <v>0.5</v>
      </c>
      <c r="M41" s="77"/>
      <c r="N41" s="77"/>
      <c r="O41" s="77"/>
      <c r="P41" s="77"/>
      <c r="Q41" s="79" t="s">
        <v>320</v>
      </c>
      <c r="R41" s="66">
        <v>0.5</v>
      </c>
      <c r="S41" s="77"/>
      <c r="T41" s="77"/>
      <c r="U41" s="90" t="s">
        <v>363</v>
      </c>
    </row>
    <row r="42" spans="1:21" ht="117" customHeight="1">
      <c r="A42" s="108"/>
      <c r="B42" s="108"/>
      <c r="C42" s="113"/>
      <c r="D42" s="83" t="s">
        <v>287</v>
      </c>
      <c r="E42" s="83" t="s">
        <v>288</v>
      </c>
      <c r="F42" s="83" t="s">
        <v>289</v>
      </c>
      <c r="G42" s="81">
        <v>1</v>
      </c>
      <c r="H42" s="23">
        <v>1</v>
      </c>
      <c r="I42" s="65">
        <v>2</v>
      </c>
      <c r="J42" s="65">
        <v>2</v>
      </c>
      <c r="K42" s="65">
        <v>2</v>
      </c>
      <c r="L42" s="66">
        <v>1</v>
      </c>
      <c r="M42" s="77"/>
      <c r="N42" s="77"/>
      <c r="O42" s="77"/>
      <c r="P42" s="77"/>
      <c r="Q42" s="79" t="s">
        <v>321</v>
      </c>
      <c r="R42" s="66">
        <v>1</v>
      </c>
      <c r="S42" s="77"/>
      <c r="T42" s="77"/>
      <c r="U42" s="90" t="s">
        <v>363</v>
      </c>
    </row>
    <row r="43" spans="1:21" ht="121.5" customHeight="1">
      <c r="A43" s="108" t="s">
        <v>126</v>
      </c>
      <c r="B43" s="108" t="s">
        <v>127</v>
      </c>
      <c r="C43" s="23" t="s">
        <v>128</v>
      </c>
      <c r="D43" s="22" t="s">
        <v>129</v>
      </c>
      <c r="E43" s="22" t="s">
        <v>130</v>
      </c>
      <c r="F43" s="22" t="s">
        <v>131</v>
      </c>
      <c r="G43" s="23">
        <v>4</v>
      </c>
      <c r="H43" s="23">
        <v>6</v>
      </c>
      <c r="I43" s="65">
        <v>1</v>
      </c>
      <c r="J43" s="65">
        <v>2</v>
      </c>
      <c r="K43" s="65">
        <v>5</v>
      </c>
      <c r="L43" s="66">
        <v>1</v>
      </c>
      <c r="M43" s="77"/>
      <c r="N43" s="77"/>
      <c r="O43" s="77"/>
      <c r="P43" s="77"/>
      <c r="Q43" s="79" t="s">
        <v>335</v>
      </c>
      <c r="R43" s="66">
        <v>1</v>
      </c>
      <c r="S43" s="77"/>
      <c r="T43" s="77"/>
      <c r="U43" s="90" t="s">
        <v>364</v>
      </c>
    </row>
    <row r="44" spans="1:21" ht="135" customHeight="1">
      <c r="A44" s="108"/>
      <c r="B44" s="108"/>
      <c r="C44" s="109" t="s">
        <v>132</v>
      </c>
      <c r="D44" s="23" t="s">
        <v>133</v>
      </c>
      <c r="E44" s="35" t="s">
        <v>134</v>
      </c>
      <c r="F44" s="35" t="s">
        <v>135</v>
      </c>
      <c r="G44" s="33">
        <v>0.2</v>
      </c>
      <c r="H44" s="33">
        <v>0.4</v>
      </c>
      <c r="I44" s="66">
        <v>0.25</v>
      </c>
      <c r="J44" s="66">
        <v>0</v>
      </c>
      <c r="K44" s="66">
        <v>0</v>
      </c>
      <c r="L44" s="66">
        <f>I44/H44</f>
        <v>0.625</v>
      </c>
      <c r="M44" s="77"/>
      <c r="N44" s="77"/>
      <c r="O44" s="77"/>
      <c r="P44" s="77"/>
      <c r="Q44" s="77" t="s">
        <v>336</v>
      </c>
      <c r="R44" s="66">
        <v>0.63</v>
      </c>
      <c r="S44" s="77"/>
      <c r="T44" s="77"/>
      <c r="U44" s="90" t="s">
        <v>364</v>
      </c>
    </row>
    <row r="45" spans="1:21" ht="57" customHeight="1">
      <c r="A45" s="108"/>
      <c r="B45" s="108"/>
      <c r="C45" s="111"/>
      <c r="D45" s="109" t="s">
        <v>136</v>
      </c>
      <c r="E45" s="109" t="s">
        <v>137</v>
      </c>
      <c r="F45" s="23" t="s">
        <v>138</v>
      </c>
      <c r="G45" s="23">
        <v>3</v>
      </c>
      <c r="H45" s="36">
        <f>G45+(G45*20%)</f>
        <v>3.6</v>
      </c>
      <c r="I45" s="65">
        <v>0</v>
      </c>
      <c r="J45" s="65">
        <v>1</v>
      </c>
      <c r="K45" s="65">
        <v>3</v>
      </c>
      <c r="L45" s="66">
        <v>1</v>
      </c>
      <c r="M45" s="77"/>
      <c r="N45" s="77"/>
      <c r="O45" s="77"/>
      <c r="P45" s="77"/>
      <c r="Q45" s="79" t="s">
        <v>337</v>
      </c>
      <c r="R45" s="66">
        <v>1</v>
      </c>
      <c r="S45" s="77"/>
      <c r="T45" s="77"/>
      <c r="U45" s="90" t="s">
        <v>364</v>
      </c>
    </row>
    <row r="46" spans="1:21" ht="48" customHeight="1">
      <c r="A46" s="108"/>
      <c r="B46" s="108"/>
      <c r="C46" s="111"/>
      <c r="D46" s="111"/>
      <c r="E46" s="109"/>
      <c r="F46" s="23" t="s">
        <v>139</v>
      </c>
      <c r="G46" s="23">
        <v>3</v>
      </c>
      <c r="H46" s="36">
        <f>G46+(G46*20%)</f>
        <v>3.6</v>
      </c>
      <c r="I46" s="65">
        <v>4</v>
      </c>
      <c r="J46" s="65">
        <v>20</v>
      </c>
      <c r="K46" s="65">
        <v>21</v>
      </c>
      <c r="L46" s="66">
        <v>1</v>
      </c>
      <c r="M46" s="77"/>
      <c r="N46" s="77"/>
      <c r="O46" s="77"/>
      <c r="P46" s="77"/>
      <c r="Q46" s="77" t="s">
        <v>338</v>
      </c>
      <c r="R46" s="66">
        <v>1</v>
      </c>
      <c r="S46" s="77"/>
      <c r="T46" s="77"/>
      <c r="U46" s="90" t="s">
        <v>364</v>
      </c>
    </row>
    <row r="47" spans="1:21" ht="84" customHeight="1">
      <c r="A47" s="108"/>
      <c r="B47" s="108"/>
      <c r="C47" s="23" t="s">
        <v>140</v>
      </c>
      <c r="D47" s="23" t="s">
        <v>141</v>
      </c>
      <c r="E47" s="23" t="s">
        <v>142</v>
      </c>
      <c r="F47" s="23" t="s">
        <v>143</v>
      </c>
      <c r="G47" s="23">
        <v>1</v>
      </c>
      <c r="H47" s="23">
        <v>1</v>
      </c>
      <c r="I47" s="65">
        <v>0</v>
      </c>
      <c r="J47" s="65">
        <v>0</v>
      </c>
      <c r="K47" s="65">
        <v>0</v>
      </c>
      <c r="L47" s="66">
        <v>0</v>
      </c>
      <c r="M47" s="77"/>
      <c r="N47" s="77"/>
      <c r="O47" s="77"/>
      <c r="P47" s="77"/>
      <c r="Q47" s="79" t="s">
        <v>339</v>
      </c>
      <c r="R47" s="66">
        <v>0</v>
      </c>
      <c r="S47" s="77"/>
      <c r="T47" s="77"/>
      <c r="U47" s="90" t="s">
        <v>364</v>
      </c>
    </row>
    <row r="48" spans="1:21" ht="75" customHeight="1">
      <c r="A48" s="108"/>
      <c r="B48" s="108"/>
      <c r="C48" s="23" t="s">
        <v>144</v>
      </c>
      <c r="D48" s="23" t="s">
        <v>145</v>
      </c>
      <c r="E48" s="23" t="s">
        <v>146</v>
      </c>
      <c r="F48" s="23" t="s">
        <v>147</v>
      </c>
      <c r="G48" s="23">
        <v>1</v>
      </c>
      <c r="H48" s="23">
        <v>1</v>
      </c>
      <c r="I48" s="65">
        <v>1</v>
      </c>
      <c r="J48" s="65">
        <v>0</v>
      </c>
      <c r="K48" s="65">
        <v>0</v>
      </c>
      <c r="L48" s="66">
        <v>1</v>
      </c>
      <c r="M48" s="77"/>
      <c r="N48" s="77"/>
      <c r="O48" s="77"/>
      <c r="P48" s="77"/>
      <c r="Q48" s="77" t="s">
        <v>340</v>
      </c>
      <c r="R48" s="66">
        <v>1</v>
      </c>
      <c r="S48" s="77"/>
      <c r="T48" s="77"/>
      <c r="U48" s="90" t="s">
        <v>364</v>
      </c>
    </row>
    <row r="49" spans="1:21" ht="132">
      <c r="A49" s="108"/>
      <c r="B49" s="108"/>
      <c r="C49" s="23" t="s">
        <v>148</v>
      </c>
      <c r="D49" s="23" t="s">
        <v>149</v>
      </c>
      <c r="E49" s="23" t="s">
        <v>150</v>
      </c>
      <c r="F49" s="23" t="s">
        <v>151</v>
      </c>
      <c r="G49" s="35">
        <v>3</v>
      </c>
      <c r="H49" s="35">
        <v>3</v>
      </c>
      <c r="I49" s="65">
        <v>1</v>
      </c>
      <c r="J49" s="65">
        <f>1+1</f>
        <v>2</v>
      </c>
      <c r="K49" s="65">
        <v>0</v>
      </c>
      <c r="L49" s="66">
        <v>1</v>
      </c>
      <c r="M49" s="77"/>
      <c r="N49" s="77"/>
      <c r="O49" s="77"/>
      <c r="P49" s="77"/>
      <c r="Q49" s="77" t="s">
        <v>340</v>
      </c>
      <c r="R49" s="66">
        <v>1</v>
      </c>
      <c r="S49" s="77"/>
      <c r="T49" s="77"/>
      <c r="U49" s="90" t="s">
        <v>365</v>
      </c>
    </row>
    <row r="50" spans="1:21">
      <c r="L50" s="1">
        <f>SUM(L8:L49)</f>
        <v>31.073612848706347</v>
      </c>
    </row>
    <row r="51" spans="1:21">
      <c r="L51">
        <f>L50/42</f>
        <v>0.73984792496919871</v>
      </c>
    </row>
  </sheetData>
  <mergeCells count="54">
    <mergeCell ref="Q3:U3"/>
    <mergeCell ref="C3:L3"/>
    <mergeCell ref="A3:B3"/>
    <mergeCell ref="S5:S7"/>
    <mergeCell ref="T5:T7"/>
    <mergeCell ref="U5:U7"/>
    <mergeCell ref="I6:I7"/>
    <mergeCell ref="J6:J7"/>
    <mergeCell ref="K6:K7"/>
    <mergeCell ref="M6:N6"/>
    <mergeCell ref="O6:P6"/>
    <mergeCell ref="I5:K5"/>
    <mergeCell ref="L5:L7"/>
    <mergeCell ref="M5:P5"/>
    <mergeCell ref="Q5:Q7"/>
    <mergeCell ref="R5:R7"/>
    <mergeCell ref="E45:E46"/>
    <mergeCell ref="G31:G35"/>
    <mergeCell ref="H31:H35"/>
    <mergeCell ref="G6:G7"/>
    <mergeCell ref="H6:H7"/>
    <mergeCell ref="G5:H5"/>
    <mergeCell ref="E31:E35"/>
    <mergeCell ref="F31:F35"/>
    <mergeCell ref="D19:D20"/>
    <mergeCell ref="C22:C24"/>
    <mergeCell ref="F5:F7"/>
    <mergeCell ref="D37:D38"/>
    <mergeCell ref="D45:D46"/>
    <mergeCell ref="A39:A42"/>
    <mergeCell ref="B39:B42"/>
    <mergeCell ref="C41:C42"/>
    <mergeCell ref="A43:A49"/>
    <mergeCell ref="B43:B49"/>
    <mergeCell ref="C44:C46"/>
    <mergeCell ref="A26:A29"/>
    <mergeCell ref="B26:B29"/>
    <mergeCell ref="C26:C28"/>
    <mergeCell ref="A31:A38"/>
    <mergeCell ref="B31:B36"/>
    <mergeCell ref="C31:C36"/>
    <mergeCell ref="B37:B38"/>
    <mergeCell ref="C37:C38"/>
    <mergeCell ref="A8:A17"/>
    <mergeCell ref="B8:B17"/>
    <mergeCell ref="C9:C10"/>
    <mergeCell ref="A19:A25"/>
    <mergeCell ref="B19:B25"/>
    <mergeCell ref="C19:C20"/>
    <mergeCell ref="A5:A7"/>
    <mergeCell ref="B5:B7"/>
    <mergeCell ref="C5:C7"/>
    <mergeCell ref="D5:D7"/>
    <mergeCell ref="E5:E7"/>
  </mergeCells>
  <conditionalFormatting sqref="I8:I12 I14:I49">
    <cfRule type="cellIs" dxfId="5" priority="6" operator="lessThan">
      <formula>0</formula>
    </cfRule>
  </conditionalFormatting>
  <conditionalFormatting sqref="J19">
    <cfRule type="cellIs" dxfId="4" priority="4" operator="lessThan">
      <formula>0</formula>
    </cfRule>
  </conditionalFormatting>
  <conditionalFormatting sqref="J23">
    <cfRule type="cellIs" dxfId="3" priority="3" operator="lessThan">
      <formula>0</formula>
    </cfRule>
  </conditionalFormatting>
  <conditionalFormatting sqref="J37">
    <cfRule type="cellIs" dxfId="2" priority="5" operator="lessThan">
      <formula>0</formula>
    </cfRule>
  </conditionalFormatting>
  <conditionalFormatting sqref="J39:L39">
    <cfRule type="cellIs" dxfId="1" priority="2" operator="lessThan">
      <formula>0</formula>
    </cfRule>
  </conditionalFormatting>
  <conditionalFormatting sqref="R39">
    <cfRule type="cellIs" dxfId="0" priority="1" operator="lessThan">
      <formula>0</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V50"/>
  <sheetViews>
    <sheetView tabSelected="1" topLeftCell="I22" zoomScale="80" zoomScaleNormal="80" workbookViewId="0">
      <selection activeCell="M40" sqref="M40"/>
    </sheetView>
  </sheetViews>
  <sheetFormatPr baseColWidth="10" defaultRowHeight="15"/>
  <cols>
    <col min="1" max="1" width="17.6640625" customWidth="1"/>
    <col min="2" max="2" width="20" customWidth="1"/>
    <col min="3" max="3" width="23" customWidth="1"/>
    <col min="4" max="4" width="23.44140625" customWidth="1"/>
    <col min="5" max="5" width="29.44140625" customWidth="1"/>
    <col min="6" max="6" width="16.109375" customWidth="1"/>
    <col min="7" max="7" width="25" customWidth="1"/>
    <col min="8" max="8" width="9.6640625" customWidth="1"/>
    <col min="9" max="9" width="9.109375" customWidth="1"/>
    <col min="13" max="13" width="20.33203125" customWidth="1"/>
    <col min="14" max="17" width="0" hidden="1" customWidth="1"/>
    <col min="18" max="18" width="43.88671875" customWidth="1"/>
    <col min="20" max="20" width="0" hidden="1" customWidth="1"/>
    <col min="21" max="21" width="16.6640625" customWidth="1"/>
  </cols>
  <sheetData>
    <row r="2" spans="1:22" ht="15.75" thickBot="1"/>
    <row r="3" spans="1:22" ht="62.25" customHeight="1" thickBot="1">
      <c r="A3" s="128"/>
      <c r="B3" s="129"/>
      <c r="C3" s="125" t="s">
        <v>262</v>
      </c>
      <c r="D3" s="126"/>
      <c r="E3" s="126"/>
      <c r="F3" s="126"/>
      <c r="G3" s="126"/>
      <c r="H3" s="126"/>
      <c r="I3" s="126"/>
      <c r="J3" s="126"/>
      <c r="K3" s="126"/>
      <c r="L3" s="126"/>
      <c r="M3" s="127"/>
      <c r="R3" s="122" t="s">
        <v>366</v>
      </c>
      <c r="S3" s="123"/>
      <c r="T3" s="123"/>
      <c r="U3" s="123"/>
      <c r="V3" s="124"/>
    </row>
    <row r="5" spans="1:22" ht="2.25" customHeight="1" thickBot="1"/>
    <row r="6" spans="1:22" ht="42.75" customHeight="1" thickTop="1" thickBot="1">
      <c r="A6" s="155" t="s">
        <v>0</v>
      </c>
      <c r="B6" s="152" t="s">
        <v>1</v>
      </c>
      <c r="C6" s="152" t="s">
        <v>2</v>
      </c>
      <c r="D6" s="152" t="s">
        <v>3</v>
      </c>
      <c r="E6" s="152" t="s">
        <v>263</v>
      </c>
      <c r="F6" s="152" t="s">
        <v>4</v>
      </c>
      <c r="G6" s="152" t="s">
        <v>5</v>
      </c>
      <c r="H6" s="114" t="s">
        <v>277</v>
      </c>
      <c r="I6" s="114"/>
      <c r="J6" s="142" t="s">
        <v>291</v>
      </c>
      <c r="K6" s="142"/>
      <c r="L6" s="142"/>
      <c r="M6" s="135" t="s">
        <v>290</v>
      </c>
      <c r="N6" s="139" t="s">
        <v>292</v>
      </c>
      <c r="O6" s="139"/>
      <c r="P6" s="139"/>
      <c r="Q6" s="139"/>
      <c r="R6" s="144" t="s">
        <v>293</v>
      </c>
      <c r="S6" s="177" t="s">
        <v>294</v>
      </c>
      <c r="T6" s="191" t="s">
        <v>295</v>
      </c>
      <c r="U6" s="144" t="s">
        <v>296</v>
      </c>
      <c r="V6" s="144" t="s">
        <v>297</v>
      </c>
    </row>
    <row r="7" spans="1:22" ht="16.5" thickTop="1" thickBot="1">
      <c r="A7" s="156"/>
      <c r="B7" s="153"/>
      <c r="C7" s="153"/>
      <c r="D7" s="153"/>
      <c r="E7" s="153"/>
      <c r="F7" s="153"/>
      <c r="G7" s="153"/>
      <c r="H7" s="118" t="s">
        <v>156</v>
      </c>
      <c r="I7" s="120" t="s">
        <v>157</v>
      </c>
      <c r="J7" s="135" t="s">
        <v>298</v>
      </c>
      <c r="K7" s="135" t="s">
        <v>299</v>
      </c>
      <c r="L7" s="137" t="s">
        <v>300</v>
      </c>
      <c r="M7" s="143"/>
      <c r="N7" s="139" t="s">
        <v>152</v>
      </c>
      <c r="O7" s="140"/>
      <c r="P7" s="141" t="s">
        <v>153</v>
      </c>
      <c r="Q7" s="139"/>
      <c r="R7" s="145"/>
      <c r="S7" s="178"/>
      <c r="T7" s="192"/>
      <c r="U7" s="145"/>
      <c r="V7" s="145"/>
    </row>
    <row r="8" spans="1:22" ht="16.5" thickTop="1" thickBot="1">
      <c r="A8" s="157"/>
      <c r="B8" s="154"/>
      <c r="C8" s="154"/>
      <c r="D8" s="154"/>
      <c r="E8" s="154"/>
      <c r="F8" s="154"/>
      <c r="G8" s="154"/>
      <c r="H8" s="119"/>
      <c r="I8" s="121"/>
      <c r="J8" s="136"/>
      <c r="K8" s="136"/>
      <c r="L8" s="138"/>
      <c r="M8" s="136"/>
      <c r="N8" s="93" t="s">
        <v>154</v>
      </c>
      <c r="O8" s="64" t="s">
        <v>155</v>
      </c>
      <c r="P8" s="64" t="s">
        <v>154</v>
      </c>
      <c r="Q8" s="95" t="s">
        <v>155</v>
      </c>
      <c r="R8" s="146"/>
      <c r="S8" s="179"/>
      <c r="T8" s="192"/>
      <c r="U8" s="146"/>
      <c r="V8" s="146"/>
    </row>
    <row r="9" spans="1:22" ht="135" customHeight="1">
      <c r="A9" s="37" t="s">
        <v>158</v>
      </c>
      <c r="B9" s="38" t="s">
        <v>159</v>
      </c>
      <c r="C9" s="39" t="s">
        <v>160</v>
      </c>
      <c r="D9" s="40" t="s">
        <v>161</v>
      </c>
      <c r="E9" s="40" t="s">
        <v>264</v>
      </c>
      <c r="F9" s="40" t="s">
        <v>162</v>
      </c>
      <c r="G9" s="41" t="s">
        <v>163</v>
      </c>
      <c r="H9" s="42">
        <v>88</v>
      </c>
      <c r="I9" s="43">
        <v>90</v>
      </c>
      <c r="J9" s="92">
        <v>89.8</v>
      </c>
      <c r="K9" s="92">
        <v>89.8</v>
      </c>
      <c r="L9" s="92">
        <v>89.8</v>
      </c>
      <c r="M9" s="97">
        <f>L9/I9</f>
        <v>0.99777777777777776</v>
      </c>
      <c r="N9" s="77"/>
      <c r="O9" s="77"/>
      <c r="P9" s="77"/>
      <c r="Q9" s="77"/>
      <c r="R9" s="98"/>
      <c r="S9" s="97">
        <v>0.998</v>
      </c>
      <c r="T9" s="77"/>
      <c r="U9" s="98"/>
      <c r="V9" s="99" t="s">
        <v>344</v>
      </c>
    </row>
    <row r="10" spans="1:22" ht="86.25" customHeight="1">
      <c r="A10" s="158" t="s">
        <v>164</v>
      </c>
      <c r="B10" s="44" t="s">
        <v>165</v>
      </c>
      <c r="C10" s="160" t="s">
        <v>166</v>
      </c>
      <c r="D10" s="45" t="s">
        <v>167</v>
      </c>
      <c r="E10" s="45" t="s">
        <v>265</v>
      </c>
      <c r="F10" s="45" t="s">
        <v>168</v>
      </c>
      <c r="G10" s="46" t="s">
        <v>169</v>
      </c>
      <c r="H10" s="47">
        <v>10</v>
      </c>
      <c r="I10" s="47">
        <v>20</v>
      </c>
      <c r="J10" s="65">
        <v>0</v>
      </c>
      <c r="K10" s="65">
        <v>0</v>
      </c>
      <c r="L10" s="65">
        <v>0</v>
      </c>
      <c r="M10" s="84">
        <v>0</v>
      </c>
      <c r="N10" s="77"/>
      <c r="O10" s="77"/>
      <c r="P10" s="77"/>
      <c r="Q10" s="77"/>
      <c r="R10" s="80" t="s">
        <v>327</v>
      </c>
      <c r="S10" s="84">
        <v>0</v>
      </c>
      <c r="T10" s="77"/>
      <c r="U10" s="77"/>
      <c r="V10" s="189" t="s">
        <v>345</v>
      </c>
    </row>
    <row r="11" spans="1:22" ht="71.25" customHeight="1">
      <c r="A11" s="159"/>
      <c r="B11" s="44" t="s">
        <v>170</v>
      </c>
      <c r="C11" s="161"/>
      <c r="D11" s="48" t="s">
        <v>171</v>
      </c>
      <c r="E11" s="48" t="s">
        <v>265</v>
      </c>
      <c r="F11" s="48" t="s">
        <v>70</v>
      </c>
      <c r="G11" s="49" t="s">
        <v>172</v>
      </c>
      <c r="H11" s="50">
        <v>0.6</v>
      </c>
      <c r="I11" s="50">
        <v>0.7</v>
      </c>
      <c r="J11" s="65">
        <f>0/3</f>
        <v>0</v>
      </c>
      <c r="K11" s="69">
        <f>1/3</f>
        <v>0.33333333333333331</v>
      </c>
      <c r="L11" s="65">
        <v>0</v>
      </c>
      <c r="M11" s="84">
        <f>K11/I11</f>
        <v>0.47619047619047622</v>
      </c>
      <c r="N11" s="77"/>
      <c r="O11" s="77"/>
      <c r="P11" s="77"/>
      <c r="Q11" s="77"/>
      <c r="R11" s="80" t="s">
        <v>327</v>
      </c>
      <c r="S11" s="84">
        <v>0.48</v>
      </c>
      <c r="T11" s="77"/>
      <c r="U11" s="77"/>
      <c r="V11" s="190"/>
    </row>
    <row r="12" spans="1:22" ht="234.95" customHeight="1">
      <c r="A12" s="51" t="s">
        <v>173</v>
      </c>
      <c r="B12" s="44" t="s">
        <v>174</v>
      </c>
      <c r="C12" s="52" t="s">
        <v>175</v>
      </c>
      <c r="D12" s="48" t="s">
        <v>176</v>
      </c>
      <c r="E12" s="48"/>
      <c r="F12" s="48" t="s">
        <v>177</v>
      </c>
      <c r="G12" s="45" t="s">
        <v>178</v>
      </c>
      <c r="H12" s="50">
        <v>0.6</v>
      </c>
      <c r="I12" s="50">
        <v>0.7</v>
      </c>
      <c r="J12" s="66">
        <v>0</v>
      </c>
      <c r="K12" s="69">
        <f>5/9</f>
        <v>0.55555555555555558</v>
      </c>
      <c r="L12" s="69">
        <f>8/15</f>
        <v>0.53333333333333333</v>
      </c>
      <c r="M12" s="69">
        <v>1</v>
      </c>
      <c r="N12" s="77"/>
      <c r="O12" s="77"/>
      <c r="P12" s="77"/>
      <c r="Q12" s="77"/>
      <c r="R12" s="80" t="s">
        <v>342</v>
      </c>
      <c r="S12" s="69">
        <v>1</v>
      </c>
      <c r="T12" s="77"/>
      <c r="U12" s="77"/>
      <c r="V12" s="86" t="s">
        <v>346</v>
      </c>
    </row>
    <row r="13" spans="1:22" ht="67.5">
      <c r="A13" s="158" t="s">
        <v>179</v>
      </c>
      <c r="B13" s="149" t="s">
        <v>180</v>
      </c>
      <c r="C13" s="151" t="s">
        <v>181</v>
      </c>
      <c r="D13" s="162" t="s">
        <v>182</v>
      </c>
      <c r="E13" s="183" t="s">
        <v>266</v>
      </c>
      <c r="F13" s="45" t="s">
        <v>183</v>
      </c>
      <c r="G13" s="45" t="s">
        <v>184</v>
      </c>
      <c r="H13" s="45">
        <v>0</v>
      </c>
      <c r="I13" s="45">
        <v>24</v>
      </c>
      <c r="J13" s="65">
        <v>0</v>
      </c>
      <c r="K13" s="65">
        <v>0</v>
      </c>
      <c r="L13" s="65">
        <v>0</v>
      </c>
      <c r="M13" s="66">
        <v>0</v>
      </c>
      <c r="N13" s="77"/>
      <c r="O13" s="77"/>
      <c r="P13" s="77"/>
      <c r="Q13" s="77"/>
      <c r="R13" s="77"/>
      <c r="S13" s="66">
        <v>0</v>
      </c>
      <c r="T13" s="77"/>
      <c r="U13" s="77"/>
      <c r="V13" s="189" t="s">
        <v>345</v>
      </c>
    </row>
    <row r="14" spans="1:22" ht="94.5">
      <c r="A14" s="159"/>
      <c r="B14" s="150"/>
      <c r="C14" s="151"/>
      <c r="D14" s="163"/>
      <c r="E14" s="184"/>
      <c r="F14" s="45" t="s">
        <v>185</v>
      </c>
      <c r="G14" s="45" t="s">
        <v>186</v>
      </c>
      <c r="H14" s="45">
        <v>0</v>
      </c>
      <c r="I14" s="45">
        <v>1</v>
      </c>
      <c r="J14" s="65">
        <v>0</v>
      </c>
      <c r="K14" s="65">
        <v>0</v>
      </c>
      <c r="L14" s="65">
        <v>1</v>
      </c>
      <c r="M14" s="66">
        <v>1</v>
      </c>
      <c r="N14" s="77"/>
      <c r="O14" s="77"/>
      <c r="P14" s="77"/>
      <c r="Q14" s="77"/>
      <c r="R14" s="77"/>
      <c r="S14" s="66">
        <v>1</v>
      </c>
      <c r="T14" s="77"/>
      <c r="U14" s="77"/>
      <c r="V14" s="190"/>
    </row>
    <row r="15" spans="1:22" ht="54">
      <c r="A15" s="158" t="s">
        <v>187</v>
      </c>
      <c r="B15" s="149" t="s">
        <v>188</v>
      </c>
      <c r="C15" s="160" t="s">
        <v>189</v>
      </c>
      <c r="D15" s="48" t="s">
        <v>190</v>
      </c>
      <c r="E15" s="185" t="s">
        <v>267</v>
      </c>
      <c r="F15" s="48" t="s">
        <v>191</v>
      </c>
      <c r="G15" s="48" t="s">
        <v>192</v>
      </c>
      <c r="H15" s="49">
        <v>1</v>
      </c>
      <c r="I15" s="49">
        <v>1</v>
      </c>
      <c r="J15" s="65">
        <v>0</v>
      </c>
      <c r="K15" s="65">
        <v>0</v>
      </c>
      <c r="L15" s="65">
        <v>0</v>
      </c>
      <c r="M15" s="66">
        <v>0</v>
      </c>
      <c r="N15" s="77"/>
      <c r="O15" s="77"/>
      <c r="P15" s="77"/>
      <c r="Q15" s="77"/>
      <c r="R15" s="77" t="s">
        <v>305</v>
      </c>
      <c r="S15" s="66">
        <v>0</v>
      </c>
      <c r="T15" s="77"/>
      <c r="U15" s="77"/>
      <c r="V15" s="189" t="s">
        <v>347</v>
      </c>
    </row>
    <row r="16" spans="1:22" ht="81">
      <c r="A16" s="158"/>
      <c r="B16" s="149"/>
      <c r="C16" s="161"/>
      <c r="D16" s="48" t="s">
        <v>193</v>
      </c>
      <c r="E16" s="186"/>
      <c r="F16" s="48" t="s">
        <v>70</v>
      </c>
      <c r="G16" s="49" t="s">
        <v>194</v>
      </c>
      <c r="H16" s="49">
        <v>0</v>
      </c>
      <c r="I16" s="49">
        <v>0</v>
      </c>
      <c r="J16" s="65">
        <v>0</v>
      </c>
      <c r="K16" s="65">
        <v>0</v>
      </c>
      <c r="L16" s="49">
        <v>0</v>
      </c>
      <c r="M16" s="66">
        <v>0</v>
      </c>
      <c r="N16" s="77"/>
      <c r="O16" s="77"/>
      <c r="P16" s="77"/>
      <c r="Q16" s="77"/>
      <c r="R16" s="77" t="s">
        <v>305</v>
      </c>
      <c r="S16" s="66">
        <v>0</v>
      </c>
      <c r="T16" s="77"/>
      <c r="U16" s="77"/>
      <c r="V16" s="190"/>
    </row>
    <row r="17" spans="1:22" ht="165">
      <c r="A17" s="158"/>
      <c r="B17" s="149"/>
      <c r="C17" s="168" t="s">
        <v>195</v>
      </c>
      <c r="D17" s="49" t="s">
        <v>196</v>
      </c>
      <c r="E17" s="186"/>
      <c r="F17" s="49" t="s">
        <v>197</v>
      </c>
      <c r="G17" s="49" t="s">
        <v>194</v>
      </c>
      <c r="H17" s="53">
        <v>0.1</v>
      </c>
      <c r="I17" s="53">
        <v>0.2</v>
      </c>
      <c r="J17" s="65">
        <v>0</v>
      </c>
      <c r="K17" s="69">
        <f>13/24</f>
        <v>0.54166666666666663</v>
      </c>
      <c r="L17" s="69">
        <f>23/23</f>
        <v>1</v>
      </c>
      <c r="M17" s="66">
        <v>1</v>
      </c>
      <c r="N17" s="77"/>
      <c r="O17" s="77"/>
      <c r="P17" s="77"/>
      <c r="Q17" s="77"/>
      <c r="R17" s="79" t="s">
        <v>306</v>
      </c>
      <c r="S17" s="66">
        <v>1</v>
      </c>
      <c r="T17" s="77"/>
      <c r="U17" s="77"/>
      <c r="V17" s="89" t="s">
        <v>348</v>
      </c>
    </row>
    <row r="18" spans="1:22" ht="165">
      <c r="A18" s="158"/>
      <c r="B18" s="149"/>
      <c r="C18" s="168"/>
      <c r="D18" s="49" t="s">
        <v>198</v>
      </c>
      <c r="E18" s="186"/>
      <c r="F18" s="49" t="s">
        <v>197</v>
      </c>
      <c r="G18" s="49" t="s">
        <v>194</v>
      </c>
      <c r="H18" s="50">
        <v>0.9</v>
      </c>
      <c r="I18" s="50">
        <v>0.9</v>
      </c>
      <c r="J18" s="69">
        <f>5/86</f>
        <v>5.8139534883720929E-2</v>
      </c>
      <c r="K18" s="69">
        <f>34/86</f>
        <v>0.39534883720930231</v>
      </c>
      <c r="L18" s="69">
        <f>52/86</f>
        <v>0.60465116279069764</v>
      </c>
      <c r="M18" s="66">
        <f>L18/I18</f>
        <v>0.67183462532299731</v>
      </c>
      <c r="N18" s="77"/>
      <c r="O18" s="77"/>
      <c r="P18" s="77"/>
      <c r="Q18" s="77"/>
      <c r="R18" s="77"/>
      <c r="S18" s="66" t="e">
        <f>R18/O18</f>
        <v>#DIV/0!</v>
      </c>
      <c r="T18" s="77"/>
      <c r="U18" s="77"/>
      <c r="V18" s="89" t="s">
        <v>348</v>
      </c>
    </row>
    <row r="19" spans="1:22" ht="132">
      <c r="A19" s="158"/>
      <c r="B19" s="149"/>
      <c r="C19" s="168"/>
      <c r="D19" s="48" t="s">
        <v>199</v>
      </c>
      <c r="E19" s="187"/>
      <c r="F19" s="48" t="s">
        <v>200</v>
      </c>
      <c r="G19" s="48" t="s">
        <v>201</v>
      </c>
      <c r="H19" s="53">
        <v>0.3</v>
      </c>
      <c r="I19" s="53">
        <v>0.5</v>
      </c>
      <c r="J19" s="65">
        <v>0</v>
      </c>
      <c r="K19" s="65">
        <v>0</v>
      </c>
      <c r="L19" s="65">
        <v>0</v>
      </c>
      <c r="M19" s="66">
        <v>0</v>
      </c>
      <c r="N19" s="77"/>
      <c r="O19" s="77"/>
      <c r="P19" s="77"/>
      <c r="Q19" s="77"/>
      <c r="R19" s="79" t="s">
        <v>307</v>
      </c>
      <c r="S19" s="66">
        <v>0</v>
      </c>
      <c r="T19" s="77"/>
      <c r="U19" s="77"/>
      <c r="V19" s="89" t="s">
        <v>349</v>
      </c>
    </row>
    <row r="20" spans="1:22" ht="123" customHeight="1">
      <c r="A20" s="158"/>
      <c r="B20" s="149"/>
      <c r="C20" s="52" t="s">
        <v>202</v>
      </c>
      <c r="D20" s="49" t="s">
        <v>203</v>
      </c>
      <c r="E20" s="49" t="s">
        <v>268</v>
      </c>
      <c r="F20" s="48" t="s">
        <v>197</v>
      </c>
      <c r="G20" s="49" t="s">
        <v>194</v>
      </c>
      <c r="H20" s="53">
        <v>0.9</v>
      </c>
      <c r="I20" s="53">
        <v>0.92</v>
      </c>
      <c r="J20" s="69">
        <f>19/86</f>
        <v>0.22093023255813954</v>
      </c>
      <c r="K20" s="69">
        <f>39/86</f>
        <v>0.45348837209302323</v>
      </c>
      <c r="L20" s="69">
        <f>55/86</f>
        <v>0.63953488372093026</v>
      </c>
      <c r="M20" s="66">
        <f>L20/I20</f>
        <v>0.69514661274014156</v>
      </c>
      <c r="N20" s="77"/>
      <c r="O20" s="77"/>
      <c r="P20" s="77"/>
      <c r="Q20" s="77"/>
      <c r="R20" s="79" t="s">
        <v>328</v>
      </c>
      <c r="S20" s="66" t="e">
        <f>R20/O20</f>
        <v>#VALUE!</v>
      </c>
      <c r="T20" s="77"/>
      <c r="U20" s="77"/>
      <c r="V20" s="89" t="s">
        <v>348</v>
      </c>
    </row>
    <row r="21" spans="1:22" ht="120">
      <c r="A21" s="14" t="s">
        <v>204</v>
      </c>
      <c r="B21" s="54" t="s">
        <v>205</v>
      </c>
      <c r="C21" s="15" t="s">
        <v>206</v>
      </c>
      <c r="D21" s="16" t="s">
        <v>207</v>
      </c>
      <c r="E21" s="16" t="s">
        <v>269</v>
      </c>
      <c r="F21" s="16" t="s">
        <v>208</v>
      </c>
      <c r="G21" s="16" t="s">
        <v>209</v>
      </c>
      <c r="H21" s="17">
        <v>0</v>
      </c>
      <c r="I21" s="17">
        <v>0</v>
      </c>
      <c r="J21" s="69">
        <v>0</v>
      </c>
      <c r="K21" s="69">
        <v>0</v>
      </c>
      <c r="L21" s="69">
        <v>0</v>
      </c>
      <c r="M21" s="69">
        <v>1</v>
      </c>
      <c r="N21" s="77"/>
      <c r="O21" s="77"/>
      <c r="P21" s="77"/>
      <c r="Q21" s="77"/>
      <c r="R21" s="80" t="s">
        <v>329</v>
      </c>
      <c r="S21" s="69">
        <v>1</v>
      </c>
      <c r="T21" s="77"/>
      <c r="U21" s="77"/>
      <c r="V21" s="89" t="s">
        <v>350</v>
      </c>
    </row>
    <row r="22" spans="1:22" ht="48.75" customHeight="1">
      <c r="A22" s="164" t="s">
        <v>210</v>
      </c>
      <c r="B22" s="149" t="s">
        <v>211</v>
      </c>
      <c r="C22" s="173" t="s">
        <v>212</v>
      </c>
      <c r="D22" s="9" t="s">
        <v>213</v>
      </c>
      <c r="E22" s="180" t="s">
        <v>270</v>
      </c>
      <c r="F22" s="9" t="s">
        <v>214</v>
      </c>
      <c r="G22" s="9" t="s">
        <v>215</v>
      </c>
      <c r="H22" s="10">
        <v>0</v>
      </c>
      <c r="I22" s="10">
        <v>0</v>
      </c>
      <c r="J22" s="65">
        <v>0</v>
      </c>
      <c r="K22" s="65">
        <v>0</v>
      </c>
      <c r="L22" s="65">
        <v>0</v>
      </c>
      <c r="M22" s="66">
        <v>0</v>
      </c>
      <c r="N22" s="77"/>
      <c r="O22" s="77"/>
      <c r="P22" s="77"/>
      <c r="Q22" s="77"/>
      <c r="R22" s="77"/>
      <c r="S22" s="66">
        <v>0</v>
      </c>
      <c r="T22" s="77"/>
      <c r="U22" s="77"/>
      <c r="V22" s="89" t="s">
        <v>350</v>
      </c>
    </row>
    <row r="23" spans="1:22" ht="66">
      <c r="A23" s="169"/>
      <c r="B23" s="171"/>
      <c r="C23" s="174"/>
      <c r="D23" s="9" t="s">
        <v>216</v>
      </c>
      <c r="E23" s="181"/>
      <c r="F23" s="10" t="s">
        <v>217</v>
      </c>
      <c r="G23" s="10" t="s">
        <v>218</v>
      </c>
      <c r="H23" s="9">
        <v>2</v>
      </c>
      <c r="I23" s="9">
        <v>2</v>
      </c>
      <c r="J23" s="65">
        <v>0</v>
      </c>
      <c r="K23" s="65">
        <v>0</v>
      </c>
      <c r="L23" s="65">
        <v>0</v>
      </c>
      <c r="M23" s="66">
        <v>0</v>
      </c>
      <c r="N23" s="77"/>
      <c r="O23" s="77"/>
      <c r="P23" s="77"/>
      <c r="Q23" s="77"/>
      <c r="R23" s="77"/>
      <c r="S23" s="66">
        <v>0</v>
      </c>
      <c r="T23" s="77"/>
      <c r="U23" s="77"/>
      <c r="V23" s="89" t="s">
        <v>350</v>
      </c>
    </row>
    <row r="24" spans="1:22" ht="82.5">
      <c r="A24" s="170"/>
      <c r="B24" s="172"/>
      <c r="C24" s="12" t="s">
        <v>219</v>
      </c>
      <c r="D24" s="9" t="s">
        <v>220</v>
      </c>
      <c r="E24" s="182"/>
      <c r="F24" s="9" t="s">
        <v>221</v>
      </c>
      <c r="G24" s="9" t="s">
        <v>222</v>
      </c>
      <c r="H24" s="13">
        <v>0.2</v>
      </c>
      <c r="I24" s="13">
        <v>0.4</v>
      </c>
      <c r="J24" s="65">
        <v>0</v>
      </c>
      <c r="K24" s="65">
        <v>0</v>
      </c>
      <c r="L24" s="65">
        <v>0</v>
      </c>
      <c r="M24" s="66">
        <v>0</v>
      </c>
      <c r="N24" s="77"/>
      <c r="O24" s="77"/>
      <c r="P24" s="77"/>
      <c r="Q24" s="77"/>
      <c r="R24" s="77"/>
      <c r="S24" s="66">
        <v>0</v>
      </c>
      <c r="T24" s="77"/>
      <c r="U24" s="77"/>
      <c r="V24" s="89" t="s">
        <v>350</v>
      </c>
    </row>
    <row r="25" spans="1:22" ht="99">
      <c r="A25" s="164" t="s">
        <v>223</v>
      </c>
      <c r="B25" s="149" t="s">
        <v>224</v>
      </c>
      <c r="C25" s="165" t="s">
        <v>225</v>
      </c>
      <c r="D25" s="9" t="s">
        <v>226</v>
      </c>
      <c r="E25" s="180" t="s">
        <v>271</v>
      </c>
      <c r="F25" s="166" t="s">
        <v>221</v>
      </c>
      <c r="G25" s="166" t="s">
        <v>222</v>
      </c>
      <c r="H25" s="188">
        <v>0.2</v>
      </c>
      <c r="I25" s="188">
        <v>0.4</v>
      </c>
      <c r="J25" s="66">
        <v>1</v>
      </c>
      <c r="K25" s="66">
        <v>1</v>
      </c>
      <c r="L25" s="66">
        <v>1</v>
      </c>
      <c r="M25" s="84">
        <v>1</v>
      </c>
      <c r="N25" s="77"/>
      <c r="O25" s="77"/>
      <c r="P25" s="77"/>
      <c r="Q25" s="77"/>
      <c r="R25" s="77"/>
      <c r="S25" s="84">
        <v>1</v>
      </c>
      <c r="T25" s="77"/>
      <c r="U25" s="77"/>
      <c r="V25" s="89" t="s">
        <v>351</v>
      </c>
    </row>
    <row r="26" spans="1:22" ht="99">
      <c r="A26" s="164"/>
      <c r="B26" s="149"/>
      <c r="C26" s="176"/>
      <c r="D26" s="9" t="s">
        <v>227</v>
      </c>
      <c r="E26" s="181"/>
      <c r="F26" s="166"/>
      <c r="G26" s="166"/>
      <c r="H26" s="188"/>
      <c r="I26" s="188"/>
      <c r="J26" s="69">
        <f>1/4</f>
        <v>0.25</v>
      </c>
      <c r="K26" s="69">
        <f>1/4</f>
        <v>0.25</v>
      </c>
      <c r="L26" s="65">
        <v>0</v>
      </c>
      <c r="M26" s="70">
        <f>2/4</f>
        <v>0.5</v>
      </c>
      <c r="N26" s="77"/>
      <c r="O26" s="77"/>
      <c r="P26" s="77"/>
      <c r="Q26" s="77"/>
      <c r="R26" s="86" t="s">
        <v>304</v>
      </c>
      <c r="S26" s="70">
        <f>2/4</f>
        <v>0.5</v>
      </c>
      <c r="T26" s="77"/>
      <c r="U26" s="77"/>
      <c r="V26" s="89" t="s">
        <v>351</v>
      </c>
    </row>
    <row r="27" spans="1:22" ht="99">
      <c r="A27" s="164"/>
      <c r="B27" s="149"/>
      <c r="C27" s="176"/>
      <c r="D27" s="9" t="s">
        <v>228</v>
      </c>
      <c r="E27" s="181"/>
      <c r="F27" s="9" t="s">
        <v>229</v>
      </c>
      <c r="G27" s="9" t="s">
        <v>230</v>
      </c>
      <c r="H27" s="13">
        <v>0.6</v>
      </c>
      <c r="I27" s="13">
        <v>0.7</v>
      </c>
      <c r="J27" s="69">
        <f>234/242</f>
        <v>0.96694214876033058</v>
      </c>
      <c r="K27" s="65">
        <v>0</v>
      </c>
      <c r="L27" s="69">
        <f>93/143</f>
        <v>0.65034965034965031</v>
      </c>
      <c r="M27" s="70">
        <v>1</v>
      </c>
      <c r="N27" s="77"/>
      <c r="O27" s="77"/>
      <c r="P27" s="77"/>
      <c r="Q27" s="77"/>
      <c r="R27" s="80" t="s">
        <v>326</v>
      </c>
      <c r="S27" s="70">
        <v>1</v>
      </c>
      <c r="T27" s="77"/>
      <c r="U27" s="77"/>
      <c r="V27" s="89" t="s">
        <v>351</v>
      </c>
    </row>
    <row r="28" spans="1:22" ht="97.5" customHeight="1">
      <c r="A28" s="175"/>
      <c r="B28" s="150"/>
      <c r="C28" s="18" t="s">
        <v>231</v>
      </c>
      <c r="D28" s="10" t="s">
        <v>232</v>
      </c>
      <c r="E28" s="182"/>
      <c r="F28" s="10" t="s">
        <v>233</v>
      </c>
      <c r="G28" s="10" t="s">
        <v>201</v>
      </c>
      <c r="H28" s="13">
        <v>0.75</v>
      </c>
      <c r="I28" s="13">
        <v>0.8</v>
      </c>
      <c r="J28" s="69">
        <f>3/19</f>
        <v>0.15789473684210525</v>
      </c>
      <c r="K28" s="69">
        <f>5/19</f>
        <v>0.26315789473684209</v>
      </c>
      <c r="L28" s="69">
        <f>4/19</f>
        <v>0.21052631578947367</v>
      </c>
      <c r="M28" s="66">
        <f>(L28+J28+K28)/I28</f>
        <v>0.78947368421052622</v>
      </c>
      <c r="N28" s="77"/>
      <c r="O28" s="77"/>
      <c r="P28" s="77"/>
      <c r="Q28" s="77"/>
      <c r="R28" s="77"/>
      <c r="S28" s="66">
        <v>0.79</v>
      </c>
      <c r="T28" s="77"/>
      <c r="U28" s="77"/>
      <c r="V28" s="89" t="s">
        <v>351</v>
      </c>
    </row>
    <row r="29" spans="1:22" ht="87" customHeight="1">
      <c r="A29" s="164" t="s">
        <v>234</v>
      </c>
      <c r="B29" s="149" t="s">
        <v>235</v>
      </c>
      <c r="C29" s="165" t="s">
        <v>236</v>
      </c>
      <c r="D29" s="166" t="s">
        <v>237</v>
      </c>
      <c r="E29" s="180" t="s">
        <v>272</v>
      </c>
      <c r="F29" s="9" t="s">
        <v>238</v>
      </c>
      <c r="G29" s="10" t="s">
        <v>239</v>
      </c>
      <c r="H29" s="10">
        <v>2</v>
      </c>
      <c r="I29" s="10">
        <v>3</v>
      </c>
      <c r="J29" s="65">
        <v>2</v>
      </c>
      <c r="K29" s="65">
        <v>2</v>
      </c>
      <c r="L29" s="65">
        <v>0</v>
      </c>
      <c r="M29" s="66">
        <v>1</v>
      </c>
      <c r="N29" s="77"/>
      <c r="O29" s="77"/>
      <c r="P29" s="77"/>
      <c r="Q29" s="77"/>
      <c r="R29" s="77"/>
      <c r="S29" s="66">
        <v>1</v>
      </c>
      <c r="T29" s="77"/>
      <c r="U29" s="77"/>
      <c r="V29" s="86" t="s">
        <v>352</v>
      </c>
    </row>
    <row r="30" spans="1:22" ht="84" customHeight="1">
      <c r="A30" s="164"/>
      <c r="B30" s="149"/>
      <c r="C30" s="165"/>
      <c r="D30" s="167"/>
      <c r="E30" s="181"/>
      <c r="F30" s="9" t="s">
        <v>240</v>
      </c>
      <c r="G30" s="10" t="s">
        <v>241</v>
      </c>
      <c r="H30" s="10">
        <v>6</v>
      </c>
      <c r="I30" s="10">
        <v>6</v>
      </c>
      <c r="J30" s="65">
        <v>2</v>
      </c>
      <c r="K30" s="65">
        <v>2</v>
      </c>
      <c r="L30" s="65">
        <v>0</v>
      </c>
      <c r="M30" s="69">
        <f>(J30+K30)/I30</f>
        <v>0.66666666666666663</v>
      </c>
      <c r="N30" s="77"/>
      <c r="O30" s="77"/>
      <c r="P30" s="77"/>
      <c r="Q30" s="77"/>
      <c r="R30" s="77"/>
      <c r="S30" s="69">
        <v>0.67</v>
      </c>
      <c r="T30" s="77"/>
      <c r="U30" s="77"/>
      <c r="V30" s="86" t="s">
        <v>352</v>
      </c>
    </row>
    <row r="31" spans="1:22" ht="102.75" customHeight="1">
      <c r="A31" s="164"/>
      <c r="B31" s="149"/>
      <c r="C31" s="165"/>
      <c r="D31" s="10" t="s">
        <v>242</v>
      </c>
      <c r="E31" s="182"/>
      <c r="F31" s="9" t="s">
        <v>243</v>
      </c>
      <c r="G31" s="10" t="s">
        <v>244</v>
      </c>
      <c r="H31" s="10">
        <v>4</v>
      </c>
      <c r="I31" s="10">
        <v>4</v>
      </c>
      <c r="J31" s="65">
        <v>0</v>
      </c>
      <c r="K31" s="65">
        <v>0</v>
      </c>
      <c r="L31" s="65">
        <v>3</v>
      </c>
      <c r="M31" s="69">
        <f>3/I31</f>
        <v>0.75</v>
      </c>
      <c r="N31" s="77"/>
      <c r="O31" s="77"/>
      <c r="P31" s="77"/>
      <c r="Q31" s="77"/>
      <c r="R31" s="79" t="s">
        <v>330</v>
      </c>
      <c r="S31" s="69">
        <v>0.75</v>
      </c>
      <c r="T31" s="77"/>
      <c r="U31" s="77"/>
      <c r="V31" s="86" t="s">
        <v>352</v>
      </c>
    </row>
    <row r="32" spans="1:22" ht="165">
      <c r="A32" s="11" t="s">
        <v>245</v>
      </c>
      <c r="B32" s="44" t="s">
        <v>246</v>
      </c>
      <c r="C32" s="18" t="s">
        <v>247</v>
      </c>
      <c r="D32" s="10" t="s">
        <v>248</v>
      </c>
      <c r="E32" s="10" t="s">
        <v>273</v>
      </c>
      <c r="F32" s="10" t="s">
        <v>249</v>
      </c>
      <c r="G32" s="10" t="s">
        <v>250</v>
      </c>
      <c r="H32" s="19">
        <v>3</v>
      </c>
      <c r="I32" s="19">
        <v>4</v>
      </c>
      <c r="J32" s="65">
        <v>2</v>
      </c>
      <c r="K32" s="65">
        <v>6</v>
      </c>
      <c r="L32" s="65">
        <v>3</v>
      </c>
      <c r="M32" s="66">
        <v>1</v>
      </c>
      <c r="N32" s="77"/>
      <c r="O32" s="77"/>
      <c r="P32" s="77"/>
      <c r="Q32" s="77"/>
      <c r="R32" s="77"/>
      <c r="S32" s="66">
        <v>1</v>
      </c>
      <c r="T32" s="77"/>
      <c r="U32" s="77"/>
      <c r="V32" s="89" t="s">
        <v>353</v>
      </c>
    </row>
    <row r="33" spans="1:22" ht="185.25" customHeight="1">
      <c r="A33" s="11" t="s">
        <v>251</v>
      </c>
      <c r="B33" s="44" t="s">
        <v>252</v>
      </c>
      <c r="C33" s="12" t="s">
        <v>253</v>
      </c>
      <c r="D33" s="9" t="s">
        <v>254</v>
      </c>
      <c r="E33" s="9" t="s">
        <v>274</v>
      </c>
      <c r="F33" s="9" t="s">
        <v>255</v>
      </c>
      <c r="G33" s="20" t="s">
        <v>256</v>
      </c>
      <c r="H33" s="13">
        <v>0.75</v>
      </c>
      <c r="I33" s="13">
        <v>0.77</v>
      </c>
      <c r="J33" s="65">
        <f>0/30</f>
        <v>0</v>
      </c>
      <c r="K33" s="69">
        <f>4/30</f>
        <v>0.13333333333333333</v>
      </c>
      <c r="L33" s="70">
        <f>6/30</f>
        <v>0.2</v>
      </c>
      <c r="M33" s="84">
        <f>(L33+K33)/I33</f>
        <v>0.43290043290043295</v>
      </c>
      <c r="N33" s="77"/>
      <c r="O33" s="77"/>
      <c r="P33" s="77"/>
      <c r="Q33" s="77"/>
      <c r="R33" s="79" t="s">
        <v>323</v>
      </c>
      <c r="S33" s="84">
        <v>0.43</v>
      </c>
      <c r="T33" s="77"/>
      <c r="U33" s="77"/>
      <c r="V33" s="90" t="s">
        <v>354</v>
      </c>
    </row>
    <row r="34" spans="1:22" ht="99.75" thickBot="1">
      <c r="A34" s="21" t="s">
        <v>257</v>
      </c>
      <c r="B34" s="88" t="s">
        <v>258</v>
      </c>
      <c r="C34" s="9" t="s">
        <v>258</v>
      </c>
      <c r="D34" s="9" t="s">
        <v>259</v>
      </c>
      <c r="E34" s="9" t="s">
        <v>275</v>
      </c>
      <c r="F34" s="9" t="s">
        <v>260</v>
      </c>
      <c r="G34" s="10" t="s">
        <v>261</v>
      </c>
      <c r="H34" s="13">
        <v>0.6</v>
      </c>
      <c r="I34" s="13">
        <v>0.7</v>
      </c>
      <c r="J34" s="66">
        <v>0.05</v>
      </c>
      <c r="K34" s="66">
        <v>0.7</v>
      </c>
      <c r="L34" s="66">
        <v>0.8</v>
      </c>
      <c r="M34" s="66">
        <v>1</v>
      </c>
      <c r="N34" s="77"/>
      <c r="O34" s="77"/>
      <c r="P34" s="77"/>
      <c r="Q34" s="77"/>
      <c r="R34" s="80" t="s">
        <v>341</v>
      </c>
      <c r="S34" s="66">
        <v>1</v>
      </c>
      <c r="T34" s="77"/>
      <c r="U34" s="77"/>
      <c r="V34" s="89" t="s">
        <v>355</v>
      </c>
    </row>
    <row r="35" spans="1:22">
      <c r="M35" s="100">
        <f>SUM(M9:M34)</f>
        <v>14.979990275809017</v>
      </c>
    </row>
    <row r="36" spans="1:22">
      <c r="M36">
        <f>M35/26</f>
        <v>0.5761534721465007</v>
      </c>
    </row>
    <row r="37" spans="1:22">
      <c r="H37" s="8"/>
      <c r="I37" s="1"/>
    </row>
    <row r="38" spans="1:22">
      <c r="H38" s="1"/>
      <c r="I38" s="1"/>
      <c r="M38">
        <f>M36+MISIONAL!L51</f>
        <v>1.3160013971156994</v>
      </c>
    </row>
    <row r="39" spans="1:22">
      <c r="H39" s="1"/>
      <c r="I39" s="1"/>
      <c r="M39">
        <f>M38/2</f>
        <v>0.65800069855784971</v>
      </c>
    </row>
    <row r="40" spans="1:22">
      <c r="H40" s="1"/>
      <c r="I40" s="1"/>
    </row>
    <row r="41" spans="1:22">
      <c r="H41" s="2"/>
      <c r="I41" s="3"/>
    </row>
    <row r="42" spans="1:22">
      <c r="H42" s="4"/>
      <c r="I42" s="5"/>
    </row>
    <row r="43" spans="1:22">
      <c r="H43" s="4"/>
      <c r="I43" s="5"/>
    </row>
    <row r="44" spans="1:22">
      <c r="H44" s="5"/>
      <c r="I44" s="5"/>
    </row>
    <row r="45" spans="1:22">
      <c r="H45" s="2"/>
      <c r="I45" s="2"/>
    </row>
    <row r="46" spans="1:22">
      <c r="H46" s="5"/>
      <c r="I46" s="6"/>
    </row>
    <row r="47" spans="1:22">
      <c r="H47" s="5"/>
      <c r="I47" s="6"/>
    </row>
    <row r="48" spans="1:22">
      <c r="H48" s="5"/>
      <c r="I48" s="5"/>
    </row>
    <row r="49" spans="8:9">
      <c r="H49" s="5"/>
      <c r="I49" s="5"/>
    </row>
    <row r="50" spans="8:9">
      <c r="H50" s="7"/>
      <c r="I50" s="7"/>
    </row>
  </sheetData>
  <mergeCells count="58">
    <mergeCell ref="A3:B3"/>
    <mergeCell ref="V10:V11"/>
    <mergeCell ref="V15:V16"/>
    <mergeCell ref="V13:V14"/>
    <mergeCell ref="C3:M3"/>
    <mergeCell ref="R3:V3"/>
    <mergeCell ref="T6:T8"/>
    <mergeCell ref="U6:U8"/>
    <mergeCell ref="V6:V8"/>
    <mergeCell ref="J7:J8"/>
    <mergeCell ref="K7:K8"/>
    <mergeCell ref="L7:L8"/>
    <mergeCell ref="N7:O7"/>
    <mergeCell ref="P7:Q7"/>
    <mergeCell ref="J6:L6"/>
    <mergeCell ref="M6:M8"/>
    <mergeCell ref="N6:Q6"/>
    <mergeCell ref="R6:R8"/>
    <mergeCell ref="S6:S8"/>
    <mergeCell ref="E29:E31"/>
    <mergeCell ref="E6:E8"/>
    <mergeCell ref="E13:E14"/>
    <mergeCell ref="E15:E19"/>
    <mergeCell ref="E22:E24"/>
    <mergeCell ref="E25:E28"/>
    <mergeCell ref="F25:F26"/>
    <mergeCell ref="G25:G26"/>
    <mergeCell ref="H6:I6"/>
    <mergeCell ref="H7:H8"/>
    <mergeCell ref="I7:I8"/>
    <mergeCell ref="H25:H26"/>
    <mergeCell ref="I25:I26"/>
    <mergeCell ref="A29:A31"/>
    <mergeCell ref="B29:B31"/>
    <mergeCell ref="C29:C31"/>
    <mergeCell ref="D29:D30"/>
    <mergeCell ref="A15:A20"/>
    <mergeCell ref="B15:B20"/>
    <mergeCell ref="C15:C16"/>
    <mergeCell ref="C17:C19"/>
    <mergeCell ref="A22:A24"/>
    <mergeCell ref="B22:B24"/>
    <mergeCell ref="C22:C23"/>
    <mergeCell ref="A25:A28"/>
    <mergeCell ref="B25:B28"/>
    <mergeCell ref="C25:C27"/>
    <mergeCell ref="B13:B14"/>
    <mergeCell ref="C13:C14"/>
    <mergeCell ref="F6:F8"/>
    <mergeCell ref="G6:G8"/>
    <mergeCell ref="A6:A8"/>
    <mergeCell ref="B6:B8"/>
    <mergeCell ref="C6:C8"/>
    <mergeCell ref="D6:D8"/>
    <mergeCell ref="A10:A11"/>
    <mergeCell ref="C10:C11"/>
    <mergeCell ref="D13:D14"/>
    <mergeCell ref="A13:A1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5"/>
  <sheetViews>
    <sheetView workbookViewId="0">
      <selection activeCell="F9" sqref="F9:F12"/>
    </sheetView>
  </sheetViews>
  <sheetFormatPr baseColWidth="10" defaultRowHeight="15"/>
  <cols>
    <col min="3" max="3" width="15.44140625" customWidth="1"/>
  </cols>
  <sheetData>
    <row r="3" spans="1:3">
      <c r="A3" s="193" t="s">
        <v>278</v>
      </c>
      <c r="B3" s="194"/>
      <c r="C3" s="194"/>
    </row>
    <row r="4" spans="1:3" ht="38.25">
      <c r="A4" s="55" t="s">
        <v>279</v>
      </c>
      <c r="B4" s="55" t="s">
        <v>280</v>
      </c>
      <c r="C4" s="55" t="s">
        <v>281</v>
      </c>
    </row>
    <row r="5" spans="1:3" ht="89.25">
      <c r="A5" s="56">
        <v>1</v>
      </c>
      <c r="B5" s="57">
        <v>45669</v>
      </c>
      <c r="C5" s="58" t="s">
        <v>282</v>
      </c>
    </row>
  </sheetData>
  <mergeCells count="1">
    <mergeCell ref="A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MISIONAL</vt:lpstr>
      <vt:lpstr>INSTITUCIONAL</vt:lpstr>
      <vt:lpstr>Control de cambio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2025-01-16T22:01:46Z</dcterms:created>
  <dcterms:modified xsi:type="dcterms:W3CDTF">2026-01-19T14:05:11Z</dcterms:modified>
</cp:coreProperties>
</file>