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hidePivotFieldList="1"/>
  <mc:AlternateContent xmlns:mc="http://schemas.openxmlformats.org/markup-compatibility/2006">
    <mc:Choice Requires="x15">
      <x15ac:absPath xmlns:x15ac="http://schemas.microsoft.com/office/spreadsheetml/2010/11/ac" url="C:\Users\imartinez\Desktop\2024\PRESUPUESTO 2024\CONSEJO DIRECTIVO 2024\MAYO 2024\"/>
    </mc:Choice>
  </mc:AlternateContent>
  <xr:revisionPtr revIDLastSave="0" documentId="13_ncr:1_{80AD7F5A-E0D5-4F78-8641-ED87305684EF}" xr6:coauthVersionLast="36" xr6:coauthVersionMax="36" xr10:uidLastSave="{00000000-0000-0000-0000-000000000000}"/>
  <bookViews>
    <workbookView xWindow="0" yWindow="0" windowWidth="28800" windowHeight="12225" tabRatio="945" activeTab="1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1" l="1"/>
  <c r="E8" i="11"/>
  <c r="B18" i="10"/>
  <c r="B17" i="6"/>
  <c r="B17" i="5"/>
  <c r="F7" i="1" l="1"/>
  <c r="B15" i="5" l="1"/>
  <c r="F7" i="4" l="1"/>
  <c r="F6" i="4"/>
  <c r="F5" i="4"/>
  <c r="E5" i="1" l="1"/>
  <c r="C4" i="16" l="1"/>
  <c r="B7" i="5" l="1"/>
  <c r="B7" i="1" l="1"/>
  <c r="C7" i="1"/>
  <c r="D6" i="16"/>
  <c r="H8" i="11" l="1"/>
  <c r="J6" i="11" l="1"/>
  <c r="K6" i="11"/>
  <c r="L6" i="11"/>
  <c r="J7" i="11"/>
  <c r="K7" i="11"/>
  <c r="L7" i="11"/>
  <c r="F4" i="9"/>
  <c r="D6" i="6"/>
  <c r="B10" i="10"/>
  <c r="B17" i="10"/>
  <c r="B16" i="10"/>
  <c r="B15" i="10"/>
  <c r="B9" i="10"/>
  <c r="B8" i="10"/>
  <c r="B11" i="10"/>
  <c r="B12" i="10"/>
  <c r="B13" i="10"/>
  <c r="B14" i="5"/>
  <c r="E5" i="11"/>
  <c r="K5" i="11" s="1"/>
  <c r="B12" i="5"/>
  <c r="B13" i="5"/>
  <c r="B16" i="5"/>
  <c r="B16" i="6"/>
  <c r="L5" i="11" l="1"/>
  <c r="J5" i="11"/>
  <c r="B14" i="10"/>
  <c r="B10" i="5"/>
  <c r="B11" i="5"/>
  <c r="F8" i="11" l="1"/>
  <c r="B8" i="5" l="1"/>
  <c r="E6" i="1" l="1"/>
  <c r="K5" i="1" l="1"/>
  <c r="J5" i="1"/>
  <c r="L5" i="1"/>
  <c r="L6" i="1"/>
  <c r="K6" i="1"/>
  <c r="J6" i="1"/>
  <c r="E11" i="4"/>
  <c r="F8" i="4"/>
  <c r="L8" i="4" s="1"/>
  <c r="D7" i="1"/>
  <c r="E10" i="15"/>
  <c r="D10" i="15"/>
  <c r="F9" i="15"/>
  <c r="F7" i="15"/>
  <c r="F8" i="15"/>
  <c r="K7" i="4" l="1"/>
  <c r="M7" i="4"/>
  <c r="L7" i="4"/>
  <c r="L6" i="4"/>
  <c r="K6" i="4"/>
  <c r="M6" i="4"/>
  <c r="L5" i="4"/>
  <c r="M5" i="4"/>
  <c r="K5" i="4"/>
  <c r="F10" i="15"/>
  <c r="I7" i="15" s="1"/>
  <c r="M8" i="4"/>
  <c r="K8" i="4"/>
  <c r="E7" i="1"/>
  <c r="I8" i="15" l="1"/>
  <c r="G7" i="15"/>
  <c r="G8" i="15"/>
  <c r="C10" i="15"/>
  <c r="G9" i="15" l="1"/>
  <c r="D9" i="4" l="1"/>
  <c r="D11" i="4" s="1"/>
  <c r="D18" i="10" l="1"/>
  <c r="D7" i="10"/>
  <c r="D4" i="11"/>
  <c r="G9" i="4" l="1"/>
  <c r="G11" i="4" l="1"/>
  <c r="K10" i="4" l="1"/>
  <c r="L10" i="4"/>
  <c r="M10" i="4"/>
  <c r="F9" i="4" l="1"/>
  <c r="K9" i="4" s="1"/>
  <c r="F11" i="4" l="1"/>
  <c r="I9" i="15"/>
  <c r="C4" i="9"/>
  <c r="C9" i="4"/>
  <c r="K11" i="4" l="1"/>
  <c r="I10" i="15"/>
  <c r="C11" i="4"/>
  <c r="G8" i="11" l="1"/>
  <c r="E16" i="10" l="1"/>
  <c r="C8" i="11"/>
  <c r="J8" i="11" s="1"/>
  <c r="K8" i="11" l="1"/>
  <c r="L8" i="11"/>
  <c r="B7" i="16" l="1"/>
  <c r="B12" i="16" s="1"/>
  <c r="D8" i="10" l="1"/>
  <c r="I9" i="4"/>
  <c r="M9" i="4" s="1"/>
  <c r="H9" i="4"/>
  <c r="L9" i="4" s="1"/>
  <c r="H11" i="4" l="1"/>
  <c r="E15" i="10"/>
  <c r="E17" i="10"/>
  <c r="E18" i="10"/>
  <c r="E15" i="6"/>
  <c r="B15" i="6"/>
  <c r="B14" i="6"/>
  <c r="B13" i="6"/>
  <c r="B12" i="6"/>
  <c r="B9" i="5"/>
  <c r="C35" i="15"/>
  <c r="C34" i="15"/>
  <c r="G34" i="15" s="1"/>
  <c r="C33" i="15"/>
  <c r="G33" i="15" s="1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I11" i="4"/>
  <c r="M11" i="4" s="1"/>
  <c r="L11" i="4"/>
  <c r="H7" i="1"/>
  <c r="L7" i="1" s="1"/>
  <c r="G7" i="1"/>
  <c r="J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ADMINFOTEP</author>
    <author>PRESUPUESTO</author>
    <author>CONTABILIDAD</author>
  </authors>
  <commentList>
    <comment ref="H7" authorId="0" shapeId="0" xr:uid="{DF6BD829-A8B7-4ACE-87ED-B53757F9F526}">
      <text>
        <r>
          <rPr>
            <b/>
            <sz val="9"/>
            <color indexed="81"/>
            <rFont val="Tahoma"/>
            <family val="2"/>
          </rPr>
          <t>ADMINFOTEP:</t>
        </r>
        <r>
          <rPr>
            <sz val="9"/>
            <color indexed="81"/>
            <rFont val="Tahoma"/>
            <family val="2"/>
          </rPr>
          <t xml:space="preserve">
VTAS DE SERVICIOS $858.681.425.
PAGOS DE INVERSIÓN: $719.302.694.
RESERVAS DE INVERSIÓN: $210.415.312.
</t>
        </r>
      </text>
    </comment>
    <comment ref="F8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$2,053,067,118.00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2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B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<sst xmlns="http://schemas.openxmlformats.org/spreadsheetml/2006/main" count="283" uniqueCount="132">
  <si>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</si>
  <si>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</si>
  <si>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</si>
  <si>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</si>
  <si>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</si>
  <si>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</si>
  <si>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</si>
  <si>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</si>
  <si>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</si>
  <si>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</si>
  <si>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</si>
  <si>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</si>
  <si>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</si>
  <si>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</si>
  <si>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</si>
  <si>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</si>
  <si>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</si>
  <si>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</si>
  <si>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</si>
  <si>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</si>
  <si>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</si>
  <si>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</si>
  <si>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</si>
  <si>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</si>
  <si>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</si>
  <si>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</si>
  <si>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</si>
  <si>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</si>
  <si>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</si>
  <si>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</si>
  <si>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</si>
  <si>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</si>
  <si>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</si>
  <si>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</si>
  <si>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</si>
  <si>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</si>
  <si>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</si>
  <si>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</si>
  <si>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</si>
  <si>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</si>
  <si>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</si>
  <si>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</si>
  <si>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</si>
  <si>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</si>
  <si>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</si>
  <si>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</si>
  <si>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</si>
  <si>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</si>
  <si>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</si>
  <si>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</si>
  <si>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</si>
  <si>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</si>
  <si>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</si>
  <si>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</si>
  <si>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</si>
  <si>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</si>
  <si>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</si>
  <si>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</si>
  <si>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</si>
  <si>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</si>
  <si>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</si>
  <si>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</si>
  <si>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</si>
  <si>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</si>
  <si>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</si>
  <si>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</si>
  <si>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</si>
  <si>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</si>
  <si>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</si>
  <si>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</si>
  <si>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</si>
  <si>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</si>
  <si>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</si>
  <si>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</si>
  <si>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</si>
  <si>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</si>
  <si>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</si>
  <si>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</si>
  <si>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</si>
  <si>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</si>
  <si>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</si>
  <si>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</si>
  <si>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</si>
  <si>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</si>
  <si>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</si>
  <si>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</si>
  <si>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</si>
  <si>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</si>
  <si>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</si>
  <si>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</si>
  <si>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</si>
  <si>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</si>
  <si>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</si>
  <si>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</si>
  <si>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</si>
  <si>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</si>
  <si>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</si>
  <si>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</si>
  <si>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</si>
  <si>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</si>
  <si>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</si>
  <si>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</si>
  <si>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</si>
  <si>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</si>
  <si>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</si>
  <si>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</si>
  <si>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</si>
  <si>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</si>
  <si>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</si>
  <si>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</si>
  <si>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</si>
  <si>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</si>
  <si>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</si>
  <si>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APROPIACION INICIAL</t>
  </si>
  <si>
    <t>APROPIACIÓN VIGENCIA</t>
  </si>
  <si>
    <t>COMPOSICION DEL PRESUPUESTO DE INGRESOS</t>
  </si>
  <si>
    <t>GASTOS POR TRIBUTOS, MULTAS SANCIONES E INTRESES DE MORA</t>
  </si>
  <si>
    <t>REDUCCIÓN EN TRASLADOS Y LEVANTAMIENTOS</t>
  </si>
  <si>
    <t xml:space="preserve">Presupuesto Definitivo 2023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</si>
  <si>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2023
(3)</t>
    </r>
  </si>
  <si>
    <t>ADICIÓN SEG RESOLUCION(MINEDUCACIÓN) Y ACUERDOS</t>
  </si>
  <si>
    <t>ADICIÓN</t>
  </si>
  <si>
    <t>REDUCIÓN</t>
  </si>
  <si>
    <t>EJECUCIÓN PRESUPUESTAL DE INGRESOS RECURSO PROPIOS
ENERO 2024 - DICIEMBRE 31   2024.</t>
  </si>
  <si>
    <t>2. SEGURIDAD HUMANA Y JUSTICIA SOCIAL / K. EDUCACIÓN SUPERIOR COMO UN DERECHO</t>
  </si>
  <si>
    <t>CON CORTE  MAYO 31 DE 2024</t>
  </si>
  <si>
    <t>CON CORTE  CON CORTE  MAYO 31 DE 2024</t>
  </si>
  <si>
    <t>EJECUCIÓN PRESUPUESTAL 
GASTOS DE PERSONAL 
CON CORTE  MAYO 31 DE 2024</t>
  </si>
  <si>
    <t>EJECUCIÓN PRESUPUESTAL
ADQUISICIÓN BIENES Y SERVICIOS
CON CORTE  MAYO 31 DE 2024</t>
  </si>
  <si>
    <t>Ejecución Presupuestal - Proyectos de Inversión
CON CORTE  MAYO 31 DE 2024</t>
  </si>
  <si>
    <t>EJECUCIÓN PRESUPUESTAL 
PROYECTOS DE INVERSIÓN
CON CORTE  MAYO 31 DE 2024</t>
  </si>
  <si>
    <t>C-2202-0700-8 20203K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</si>
</sst>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2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3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94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6" fillId="0" borderId="0" xfId="0" applyFont="1" applyAlignment="1">
      <alignment horizontal="center" vertical="center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3" fontId="6" fillId="0" borderId="21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3" fontId="0" fillId="0" borderId="7" xfId="0" applyNumberFormat="1" applyFont="1" applyFill="1" applyBorder="1" applyAlignment="1">
      <alignment vertical="center"/>
    </xf>
    <xf numFmtId="3" fontId="6" fillId="6" borderId="2" xfId="0" applyNumberFormat="1" applyFont="1" applyFill="1" applyBorder="1" applyAlignment="1">
      <alignment horizontal="center" vertical="center" wrapText="1"/>
    </xf>
    <xf numFmtId="3" fontId="0" fillId="6" borderId="5" xfId="0" applyNumberFormat="1" applyFont="1" applyFill="1" applyBorder="1" applyAlignment="1">
      <alignment vertical="center"/>
    </xf>
    <xf numFmtId="3" fontId="3" fillId="6" borderId="5" xfId="0" applyNumberFormat="1" applyFont="1" applyFill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3" fontId="6" fillId="6" borderId="9" xfId="0" applyNumberFormat="1" applyFont="1" applyFill="1" applyBorder="1" applyAlignment="1">
      <alignment vertical="center"/>
    </xf>
    <xf numFmtId="164" fontId="13" fillId="0" borderId="47" xfId="9" applyNumberFormat="1" applyFont="1" applyBorder="1"/>
    <xf numFmtId="0" fontId="0" fillId="0" borderId="0" xfId="0" applyBorder="1"/>
    <xf numFmtId="9" fontId="0" fillId="0" borderId="0" xfId="1" applyFont="1"/>
    <xf numFmtId="44" fontId="0" fillId="0" borderId="0" xfId="12" applyFont="1"/>
    <xf numFmtId="44" fontId="6" fillId="0" borderId="0" xfId="0" applyNumberFormat="1" applyFont="1"/>
    <xf numFmtId="9" fontId="6" fillId="0" borderId="0" xfId="1" applyFont="1"/>
    <xf numFmtId="3" fontId="0" fillId="0" borderId="0" xfId="0" applyNumberFormat="1" applyBorder="1"/>
    <xf numFmtId="165" fontId="0" fillId="0" borderId="0" xfId="9" applyFont="1" applyBorder="1"/>
    <xf numFmtId="2" fontId="0" fillId="0" borderId="0" xfId="1" applyNumberFormat="1" applyFont="1" applyBorder="1"/>
    <xf numFmtId="0" fontId="0" fillId="0" borderId="5" xfId="0" applyBorder="1" applyAlignment="1">
      <alignment vertical="center" wrapText="1"/>
    </xf>
    <xf numFmtId="0" fontId="19" fillId="0" borderId="63" xfId="0" applyNumberFormat="1" applyFont="1" applyFill="1" applyBorder="1" applyAlignment="1">
      <alignment horizontal="left" vertical="center" wrapText="1" readingOrder="1"/>
    </xf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17" fillId="0" borderId="60" xfId="0" applyNumberFormat="1" applyFont="1" applyFill="1" applyBorder="1" applyAlignment="1">
      <alignment vertical="top" wrapText="1" readingOrder="1"/>
    </xf>
    <xf numFmtId="0" fontId="18" fillId="0" borderId="61" xfId="0" applyNumberFormat="1" applyFont="1" applyFill="1" applyBorder="1" applyAlignment="1">
      <alignment vertical="top" wrapText="1"/>
    </xf>
    <xf numFmtId="0" fontId="18" fillId="0" borderId="62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3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" xfId="12" builtinId="4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#,##0_);_("$"\ * \(#,##0\);_("$"\ * "-"_);_(@_)</c:formatCode>
                <c:ptCount val="2"/>
                <c:pt idx="0">
                  <c:v>1541558544</c:v>
                </c:pt>
                <c:pt idx="1">
                  <c:v>9655582206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0.13767430261158412</c:v>
                </c:pt>
                <c:pt idx="1">
                  <c:v>0.86232569738841591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 MAYO 31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8004097048844503"/>
          <c:y val="0.24860416041893124"/>
          <c:w val="0.80369886690992898"/>
          <c:h val="0.60195108683198217"/>
        </c:manualLayout>
      </c:layout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8.3333333335965973E-2</c:v>
                </c:pt>
                <c:pt idx="1">
                  <c:v>0.16666666667193195</c:v>
                </c:pt>
                <c:pt idx="2">
                  <c:v>0.2500000000078979</c:v>
                </c:pt>
                <c:pt idx="3">
                  <c:v>0.33333333334386389</c:v>
                </c:pt>
                <c:pt idx="4">
                  <c:v>0.41666666667982988</c:v>
                </c:pt>
                <c:pt idx="5">
                  <c:v>0.50000000001579581</c:v>
                </c:pt>
                <c:pt idx="6">
                  <c:v>0.58333333335176185</c:v>
                </c:pt>
                <c:pt idx="7">
                  <c:v>0.66666666668772778</c:v>
                </c:pt>
                <c:pt idx="8">
                  <c:v>0.75000000002369371</c:v>
                </c:pt>
                <c:pt idx="9">
                  <c:v>0.83333333335965976</c:v>
                </c:pt>
                <c:pt idx="10">
                  <c:v>0.9166666666956258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2.3390190737521455E-2</c:v>
                </c:pt>
                <c:pt idx="1">
                  <c:v>8.0969961492250164E-2</c:v>
                </c:pt>
                <c:pt idx="2">
                  <c:v>0.19467975812155658</c:v>
                </c:pt>
                <c:pt idx="3">
                  <c:v>0.38991927627621537</c:v>
                </c:pt>
                <c:pt idx="4">
                  <c:v>0.5843130599632067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 MAYO 31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105513219.67</c:v>
                </c:pt>
                <c:pt idx="1">
                  <c:v>211026439.34</c:v>
                </c:pt>
                <c:pt idx="2">
                  <c:v>316539659.00999999</c:v>
                </c:pt>
                <c:pt idx="3">
                  <c:v>422052878.68000001</c:v>
                </c:pt>
                <c:pt idx="4">
                  <c:v>527566098.35000002</c:v>
                </c:pt>
                <c:pt idx="5">
                  <c:v>633079318.01999998</c:v>
                </c:pt>
                <c:pt idx="6">
                  <c:v>738592537.69000006</c:v>
                </c:pt>
                <c:pt idx="7">
                  <c:v>844105757.36000001</c:v>
                </c:pt>
                <c:pt idx="8">
                  <c:v>949618977.02999997</c:v>
                </c:pt>
                <c:pt idx="9">
                  <c:v>1055132196.7</c:v>
                </c:pt>
                <c:pt idx="10">
                  <c:v>1160645416.3700001</c:v>
                </c:pt>
                <c:pt idx="11">
                  <c:v>1266158636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29615692</c:v>
                </c:pt>
                <c:pt idx="1">
                  <c:v>102520816</c:v>
                </c:pt>
                <c:pt idx="2">
                  <c:v>246495457</c:v>
                </c:pt>
                <c:pt idx="3">
                  <c:v>493699659</c:v>
                </c:pt>
                <c:pt idx="4">
                  <c:v>739833027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#,##0_-;\-* #,##0_-;_-*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 MAYO 31 DE 2024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4138232398</c:v>
                </c:pt>
                <c:pt idx="1">
                  <c:v>4138232398</c:v>
                </c:pt>
                <c:pt idx="2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 MAYO 31 DE 2024</a:t>
            </a:r>
          </a:p>
        </c:rich>
      </c:tx>
      <c:layout>
        <c:manualLayout>
          <c:xMode val="edge"/>
          <c:yMode val="edge"/>
          <c:x val="0.36763071895424837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8.3333333333333329E-2</c:v>
                </c:pt>
                <c:pt idx="1">
                  <c:v>0.16666666666666666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0.41666666666666663</c:v>
                </c:pt>
                <c:pt idx="5">
                  <c:v>0.5</c:v>
                </c:pt>
                <c:pt idx="6">
                  <c:v>0.58333333333333326</c:v>
                </c:pt>
                <c:pt idx="7">
                  <c:v>0.66666666666666663</c:v>
                </c:pt>
                <c:pt idx="8">
                  <c:v>0.74999999999999989</c:v>
                </c:pt>
                <c:pt idx="9">
                  <c:v>0.83333333333333326</c:v>
                </c:pt>
                <c:pt idx="10">
                  <c:v>0.91666666666666652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14-17'!$C$4</c:f>
              <c:strCache>
                <c:ptCount val="1"/>
                <c:pt idx="0">
                  <c:v>APROPIACION INICIAL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14-17'!$C$5:$C$7</c:f>
              <c:numCache>
                <c:formatCode>#,##0</c:formatCode>
                <c:ptCount val="1"/>
                <c:pt idx="0">
                  <c:v>4138232398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14-17'!$F$4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14-17'!$F$5:$F$7</c:f>
              <c:numCache>
                <c:formatCode>#,##0</c:formatCode>
                <c:ptCount val="1"/>
                <c:pt idx="0">
                  <c:v>35160482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14-17'!$G$4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14-17'!$G$5:$G$7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14-17'!$H$4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14-17'!$H$5:$H$7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 MAYO 31 DE 2024</a:t>
            </a:r>
            <a:endParaRPr lang="es-CO"/>
          </a:p>
        </c:rich>
      </c:tx>
      <c:layout>
        <c:manualLayout>
          <c:xMode val="edge"/>
          <c:yMode val="edge"/>
          <c:x val="0.33588543549185962"/>
          <c:y val="2.2572952739959144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14-17'!$I$4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14-17'!$I$5:$I$7</c:f>
              <c:numCache>
                <c:formatCode>0.0%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14-17'!$J$4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14-17'!$J$5:$J$7</c:f>
              <c:numCache>
                <c:formatCode>0.0%</c:formatCode>
                <c:ptCount val="1"/>
                <c:pt idx="0">
                  <c:v>8.4964976875133921E-3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14-17'!$K$4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14-17'!$K$5:$K$7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14-17'!$L$4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14-17'!$B$5:$B$7</c:f>
              <c:strCache>
                <c:ptCount val="1"/>
                <c:pt idx="0">
                  <c:v>2. SEGURIDAD HUMANA Y JUSTICIA SOCIAL / K. EDUCACIÓN SUPERIOR COMO UN DERECHO</c:v>
                </c:pt>
              </c:strCache>
            </c:strRef>
          </c:cat>
          <c:val>
            <c:numRef>
              <c:f>'EJECUCION INVERSION diap 14-17'!$L$5:$L$7</c:f>
              <c:numCache>
                <c:formatCode>0.0%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#,##0_);_("$"\ * \(#,##0\);_("$"\ * "-"_);_(@_)</c:formatCode>
                <c:ptCount val="2"/>
                <c:pt idx="0">
                  <c:v>53436953</c:v>
                </c:pt>
                <c:pt idx="1">
                  <c:v>5130888698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4.7723748582869244E-3</c:v>
                </c:pt>
                <c:pt idx="1">
                  <c:v>0.45823204446188642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#,##0_-;\-* #,##0_-;_-*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#,##0_-;\-* #,##0_-;_-*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Presupuesto Definitivo 2023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#,##0.00_);_(* \(#,##0.00\);_(* "-"??_);_(@_)</c:formatCode>
                <c:ptCount val="4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  <c:pt idx="3">
                  <c:v>1541558544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Recaudos Acumulados (PERIODO) 2023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,##0.00_);_(* \(#,##0.00\);_(* &quot;-&quot;??_);_(@_)">
                  <c:v>53436953</c:v>
                </c:pt>
                <c:pt idx="1">
                  <c:v>0</c:v>
                </c:pt>
                <c:pt idx="2">
                  <c:v>0</c:v>
                </c:pt>
                <c:pt idx="3">
                  <c:v>53436953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2024 - DICIEMBRE 31   2024.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4.0883781574811297E-2</c:v>
                </c:pt>
                <c:pt idx="1">
                  <c:v>0</c:v>
                </c:pt>
                <c:pt idx="2">
                  <c:v>0</c:v>
                </c:pt>
                <c:pt idx="3" formatCode="0.00%">
                  <c:v>3.4664238479936701E-2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2023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#,##0.00_);_(* \(#,##0.00\);_(* "-"??_);_(@_)</c:formatCode>
                <c:ptCount val="3"/>
                <c:pt idx="0">
                  <c:v>1307045262</c:v>
                </c:pt>
                <c:pt idx="1">
                  <c:v>0</c:v>
                </c:pt>
                <c:pt idx="2">
                  <c:v>234513282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2023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,##0.00_);_(* \(#,##0.00\);_(* &quot;-&quot;??_);_(@_)">
                  <c:v>53436953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4.0883781574811297E-2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 MAYO 31 DE 2024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7"/>
                <c:pt idx="0">
                  <c:v>7058908352</c:v>
                </c:pt>
                <c:pt idx="1">
                  <c:v>1947019770</c:v>
                </c:pt>
                <c:pt idx="2">
                  <c:v>1947019770</c:v>
                </c:pt>
                <c:pt idx="3">
                  <c:v>7058908352</c:v>
                </c:pt>
                <c:pt idx="4">
                  <c:v>3948381272</c:v>
                </c:pt>
                <c:pt idx="5">
                  <c:v>2167422955</c:v>
                </c:pt>
                <c:pt idx="6">
                  <c:v>1992769260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7"/>
                <c:pt idx="0">
                  <c:v>4138232398</c:v>
                </c:pt>
                <c:pt idx="1">
                  <c:v>4138232398</c:v>
                </c:pt>
                <c:pt idx="2">
                  <c:v>4138232398</c:v>
                </c:pt>
                <c:pt idx="3">
                  <c:v>4138232398</c:v>
                </c:pt>
                <c:pt idx="4">
                  <c:v>35160482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 MAYO 31 DE 2024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1143572179"/>
          <c:y val="3.006025528711854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GASTOS'!$B$5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GASTOS'!$C$5:$I$5</c:f>
              <c:numCache>
                <c:formatCode>#,##0</c:formatCode>
                <c:ptCount val="7"/>
                <c:pt idx="0">
                  <c:v>3060729352</c:v>
                </c:pt>
                <c:pt idx="1">
                  <c:v>867019770</c:v>
                </c:pt>
                <c:pt idx="2">
                  <c:v>0</c:v>
                </c:pt>
                <c:pt idx="3">
                  <c:v>3927749122</c:v>
                </c:pt>
                <c:pt idx="4">
                  <c:v>1998857522</c:v>
                </c:pt>
                <c:pt idx="5">
                  <c:v>1329037392</c:v>
                </c:pt>
                <c:pt idx="6">
                  <c:v>1191234082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GASTOS'!$B$6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GASTOS'!$C$6:$I$6</c:f>
              <c:numCache>
                <c:formatCode>#,##0</c:formatCode>
                <c:ptCount val="7"/>
                <c:pt idx="0">
                  <c:v>1266158636</c:v>
                </c:pt>
                <c:pt idx="1">
                  <c:v>1080000000</c:v>
                </c:pt>
                <c:pt idx="2">
                  <c:v>0</c:v>
                </c:pt>
                <c:pt idx="3">
                  <c:v>2346158636</c:v>
                </c:pt>
                <c:pt idx="4">
                  <c:v>1831997372</c:v>
                </c:pt>
                <c:pt idx="5">
                  <c:v>729833027</c:v>
                </c:pt>
                <c:pt idx="6">
                  <c:v>692982642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GASTOS'!$B$7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GASTOS'!$C$7:$I$7</c:f>
              <c:numCache>
                <c:formatCode>#,##0</c:formatCode>
                <c:ptCount val="7"/>
                <c:pt idx="0">
                  <c:v>2732020364</c:v>
                </c:pt>
                <c:pt idx="1">
                  <c:v>0</c:v>
                </c:pt>
                <c:pt idx="2">
                  <c:v>1947019770</c:v>
                </c:pt>
                <c:pt idx="3">
                  <c:v>785000594</c:v>
                </c:pt>
                <c:pt idx="4">
                  <c:v>117526378</c:v>
                </c:pt>
                <c:pt idx="5">
                  <c:v>108552536</c:v>
                </c:pt>
                <c:pt idx="6">
                  <c:v>108552536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GASTOS'!$B$9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GASTOS'!$C$9:$I$9</c:f>
              <c:numCache>
                <c:formatCode>#,##0</c:formatCode>
                <c:ptCount val="7"/>
                <c:pt idx="0">
                  <c:v>4138232398</c:v>
                </c:pt>
                <c:pt idx="1">
                  <c:v>4138232398</c:v>
                </c:pt>
                <c:pt idx="2">
                  <c:v>4138232398</c:v>
                </c:pt>
                <c:pt idx="3">
                  <c:v>4138232398</c:v>
                </c:pt>
                <c:pt idx="4">
                  <c:v>35160482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GASTOS'!$B$10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GASTOS'!$C$4:$I$4</c:f>
              <c:strCache>
                <c:ptCount val="7"/>
                <c:pt idx="0">
                  <c:v>APROPIACION INICIAL</c:v>
                </c:pt>
                <c:pt idx="1">
                  <c:v>ADICIÓN</c:v>
                </c:pt>
                <c:pt idx="2">
                  <c:v>REDUCIÓN</c:v>
                </c:pt>
                <c:pt idx="3">
                  <c:v>APROPIACIÓN VIGENCIA</c:v>
                </c:pt>
                <c:pt idx="4">
                  <c:v>COMPROMISO</c:v>
                </c:pt>
                <c:pt idx="5">
                  <c:v>OBLIGACION</c:v>
                </c:pt>
                <c:pt idx="6">
                  <c:v>PAGO</c:v>
                </c:pt>
              </c:strCache>
            </c:strRef>
          </c:cat>
          <c:val>
            <c:numRef>
              <c:f>'EJECUCIÓN DE GASTOS'!$C$10:$I$10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#,##0_-;\-* #,##0_-;_-*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 MAYO 31 DE 2024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8.3333333332244269E-2</c:v>
                </c:pt>
                <c:pt idx="1">
                  <c:v>0.16666666666448854</c:v>
                </c:pt>
                <c:pt idx="2">
                  <c:v>0.24999999999673281</c:v>
                </c:pt>
                <c:pt idx="3">
                  <c:v>0.33333333332897708</c:v>
                </c:pt>
                <c:pt idx="4">
                  <c:v>0.41666666666122137</c:v>
                </c:pt>
                <c:pt idx="5">
                  <c:v>0.49999999999346562</c:v>
                </c:pt>
                <c:pt idx="6">
                  <c:v>0.58333333332570991</c:v>
                </c:pt>
                <c:pt idx="7">
                  <c:v>0.66666666665795415</c:v>
                </c:pt>
                <c:pt idx="8">
                  <c:v>0.74999999999019851</c:v>
                </c:pt>
                <c:pt idx="9">
                  <c:v>0.83333333332244275</c:v>
                </c:pt>
                <c:pt idx="10">
                  <c:v>0.91666666665468699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6.5398401158600711E-2</c:v>
                </c:pt>
                <c:pt idx="1">
                  <c:v>0.13215626227640398</c:v>
                </c:pt>
                <c:pt idx="2">
                  <c:v>0.1924714733810283</c:v>
                </c:pt>
                <c:pt idx="3">
                  <c:v>0.33225117057001385</c:v>
                </c:pt>
                <c:pt idx="4">
                  <c:v>0.43422244803564714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 MAYO 31 DE 2024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#,##0_-;\-* #,##0_-;_-* "-"??_-;_-@_-</c:formatCode>
                <c:ptCount val="12"/>
                <c:pt idx="0">
                  <c:v>255060779.33000001</c:v>
                </c:pt>
                <c:pt idx="1">
                  <c:v>510121558.66000003</c:v>
                </c:pt>
                <c:pt idx="2">
                  <c:v>765182337.99000001</c:v>
                </c:pt>
                <c:pt idx="3">
                  <c:v>1020243117.3200001</c:v>
                </c:pt>
                <c:pt idx="4">
                  <c:v>1275303896.6500001</c:v>
                </c:pt>
                <c:pt idx="5">
                  <c:v>1530364675.98</c:v>
                </c:pt>
                <c:pt idx="6">
                  <c:v>1785425455.3100002</c:v>
                </c:pt>
                <c:pt idx="7">
                  <c:v>2040486234.6400001</c:v>
                </c:pt>
                <c:pt idx="8">
                  <c:v>2295547013.9700003</c:v>
                </c:pt>
                <c:pt idx="9">
                  <c:v>2550607793.3000002</c:v>
                </c:pt>
                <c:pt idx="10">
                  <c:v>2805668572.6300001</c:v>
                </c:pt>
                <c:pt idx="11">
                  <c:v>3060729352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#,##0_-;\-* #,##0_-;_-* "-"??_-;_-@_-</c:formatCode>
                <c:ptCount val="12"/>
                <c:pt idx="0">
                  <c:v>200166806</c:v>
                </c:pt>
                <c:pt idx="1">
                  <c:v>404494551</c:v>
                </c:pt>
                <c:pt idx="2">
                  <c:v>589103088</c:v>
                </c:pt>
                <c:pt idx="3">
                  <c:v>1016930910</c:v>
                </c:pt>
                <c:pt idx="4">
                  <c:v>1329037392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110525</xdr:colOff>
      <xdr:row>8</xdr:row>
      <xdr:rowOff>113130</xdr:rowOff>
    </xdr:from>
    <xdr:to>
      <xdr:col>14</xdr:col>
      <xdr:colOff>110526</xdr:colOff>
      <xdr:row>42</xdr:row>
      <xdr:rowOff>98844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246031</xdr:colOff>
      <xdr:row>8</xdr:row>
      <xdr:rowOff>129664</xdr:rowOff>
    </xdr:from>
    <xdr:to>
      <xdr:col>29</xdr:col>
      <xdr:colOff>530165</xdr:colOff>
      <xdr:row>42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</xdr:row>
      <xdr:rowOff>85725</xdr:rowOff>
    </xdr:from>
    <xdr:to>
      <xdr:col>14</xdr:col>
      <xdr:colOff>123825</xdr:colOff>
      <xdr:row>41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306951</xdr:colOff>
      <xdr:row>13</xdr:row>
      <xdr:rowOff>4249</xdr:rowOff>
    </xdr:from>
    <xdr:to>
      <xdr:col>13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657224</xdr:colOff>
      <xdr:row>25</xdr:row>
      <xdr:rowOff>61910</xdr:rowOff>
    </xdr:from>
    <xdr:to>
      <xdr:col>11</xdr:col>
      <xdr:colOff>247650</xdr:colOff>
      <xdr:row>49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H8" sqref="H8"/>
    </sheetView>
  </sheetViews>
  <sheetFormatPr baseColWidth="10" defaultRowHeight="12.75" x14ac:dyDescent="0.2"/>
  <cols>
    <col min="2" max="2" width="23" bestFit="1" customWidth="1"/>
    <col min="3" max="4" width="17.140625" customWidth="1"/>
    <col min="5" max="5" width="15.42578125" customWidth="1"/>
    <col min="6" max="6" width="18" customWidth="1"/>
    <col min="7" max="7" width="17.28515625" customWidth="1"/>
    <col min="8" max="8" width="17" customWidth="1"/>
    <col min="9" max="9" width="18.140625" customWidth="1"/>
    <col min="11" max="11" width="14.4257812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50" t="s">
        <v>101</v>
      </c>
      <c r="C3" s="251"/>
      <c r="D3" s="251"/>
      <c r="E3" s="251"/>
      <c r="F3" s="251"/>
      <c r="G3" s="251"/>
      <c r="H3" s="251"/>
      <c r="I3" s="252"/>
    </row>
    <row r="4" spans="2:14" ht="13.5" customHeight="1" thickBot="1" x14ac:dyDescent="0.25">
      <c r="B4" s="247" t="s">
        <v>125</v>
      </c>
      <c r="C4" s="248"/>
      <c r="D4" s="248"/>
      <c r="E4" s="248"/>
      <c r="F4" s="248"/>
      <c r="G4" s="248"/>
      <c r="H4" s="248"/>
      <c r="I4" s="249"/>
    </row>
    <row r="5" spans="2:14" ht="13.5" thickBot="1" x14ac:dyDescent="0.25"/>
    <row r="6" spans="2:14" ht="51.75" thickBot="1" x14ac:dyDescent="0.25">
      <c r="B6" s="138" t="s">
        <v>90</v>
      </c>
      <c r="C6" s="209" t="s">
        <v>115</v>
      </c>
      <c r="D6" s="223" t="s">
        <v>120</v>
      </c>
      <c r="E6" s="223" t="s">
        <v>117</v>
      </c>
      <c r="F6" s="210" t="s">
        <v>114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1541558544</v>
      </c>
      <c r="D7" s="224">
        <v>0</v>
      </c>
      <c r="E7" s="225">
        <v>0</v>
      </c>
      <c r="F7" s="142">
        <f>C7+D7-E7</f>
        <v>1541558544</v>
      </c>
      <c r="G7" s="31">
        <f>F7/F10</f>
        <v>0.13767430261158412</v>
      </c>
      <c r="H7" s="236">
        <v>53436953</v>
      </c>
      <c r="I7" s="177">
        <f>H7/F10</f>
        <v>4.7723748582869244E-3</v>
      </c>
      <c r="K7" s="163"/>
      <c r="M7" s="154"/>
    </row>
    <row r="8" spans="2:14" ht="13.5" customHeight="1" thickBot="1" x14ac:dyDescent="0.25">
      <c r="B8" s="137" t="s">
        <v>105</v>
      </c>
      <c r="C8" s="143">
        <v>9655582206</v>
      </c>
      <c r="D8" s="205">
        <v>0</v>
      </c>
      <c r="E8" s="225">
        <v>0</v>
      </c>
      <c r="F8" s="142">
        <f>C8+D8-E8</f>
        <v>9655582206</v>
      </c>
      <c r="G8" s="31">
        <f>F8/F10</f>
        <v>0.86232569738841591</v>
      </c>
      <c r="H8" s="189">
        <v>5130888698</v>
      </c>
      <c r="I8" s="179">
        <f>H8/F10</f>
        <v>0.45823204446188642</v>
      </c>
      <c r="K8" s="163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26">
        <v>0</v>
      </c>
      <c r="F9" s="142">
        <f>C9+D9-E9</f>
        <v>0</v>
      </c>
      <c r="G9" s="31">
        <f>C9/C10</f>
        <v>0</v>
      </c>
      <c r="H9" s="146">
        <v>0</v>
      </c>
      <c r="I9" s="180">
        <f>H9/F10</f>
        <v>0</v>
      </c>
    </row>
    <row r="10" spans="2:14" ht="13.5" thickBot="1" x14ac:dyDescent="0.25">
      <c r="B10" s="147" t="s">
        <v>89</v>
      </c>
      <c r="C10" s="203">
        <f>+C7+C8+C9</f>
        <v>11197140750</v>
      </c>
      <c r="D10" s="203">
        <f>SUM(D7:D9)</f>
        <v>0</v>
      </c>
      <c r="E10" s="227">
        <f>SUM(E7:E9)</f>
        <v>0</v>
      </c>
      <c r="F10" s="203">
        <f>+F7+F8+F9</f>
        <v>11197140750</v>
      </c>
      <c r="G10" s="149">
        <f>SUM(G7:G9)</f>
        <v>1</v>
      </c>
      <c r="H10" s="148">
        <f>SUM(H7:H9)</f>
        <v>5184325651</v>
      </c>
      <c r="I10" s="178">
        <f>SUM(I7:I9)</f>
        <v>0.46300441932017333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4"/>
      <c r="E32" s="204"/>
      <c r="F32" s="204"/>
      <c r="G32" s="141" t="s">
        <v>96</v>
      </c>
    </row>
    <row r="33" spans="2:15" x14ac:dyDescent="0.2">
      <c r="B33" s="136" t="s">
        <v>92</v>
      </c>
      <c r="C33" s="142">
        <f>+H7</f>
        <v>53436953</v>
      </c>
      <c r="D33" s="205"/>
      <c r="E33" s="205"/>
      <c r="F33" s="205"/>
      <c r="G33" s="177">
        <f>C33/C10</f>
        <v>4.7723748582869244E-3</v>
      </c>
    </row>
    <row r="34" spans="2:15" ht="13.5" thickBot="1" x14ac:dyDescent="0.25">
      <c r="B34" s="137" t="s">
        <v>93</v>
      </c>
      <c r="C34" s="142">
        <f>+H8</f>
        <v>5130888698</v>
      </c>
      <c r="D34" s="205"/>
      <c r="E34" s="205"/>
      <c r="F34" s="205"/>
      <c r="G34" s="179">
        <f>C34/C10</f>
        <v>0.45823204446188642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06"/>
      <c r="E35" s="206"/>
      <c r="F35" s="206"/>
      <c r="G35" s="180">
        <f>C35/C10</f>
        <v>0</v>
      </c>
    </row>
    <row r="36" spans="2:15" ht="13.5" thickBot="1" x14ac:dyDescent="0.25">
      <c r="B36" s="147" t="s">
        <v>89</v>
      </c>
      <c r="C36" s="202">
        <f>SUM(C33:C35)</f>
        <v>5184325651</v>
      </c>
      <c r="D36" s="207"/>
      <c r="E36" s="207"/>
      <c r="F36" s="207"/>
      <c r="G36" s="208">
        <f>SUM(G33:G35)</f>
        <v>0.46300441932017333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workbookViewId="0">
      <selection activeCell="E4" sqref="E4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76" t="s">
        <v>129</v>
      </c>
      <c r="C2" s="277"/>
      <c r="D2" s="277"/>
      <c r="E2" s="277"/>
      <c r="F2" s="278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4138232398</v>
      </c>
      <c r="D4" s="53">
        <v>4138232398</v>
      </c>
      <c r="E4" s="53">
        <v>0</v>
      </c>
      <c r="F4" s="186">
        <f>E4/D4</f>
        <v>0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5"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9"/>
  <sheetViews>
    <sheetView topLeftCell="A10" workbookViewId="0">
      <selection activeCell="C11" sqref="C11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73" t="s">
        <v>130</v>
      </c>
      <c r="B5" s="274"/>
      <c r="C5" s="274"/>
      <c r="D5" s="274"/>
      <c r="E5" s="275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0">
        <v>344852699.82999998</v>
      </c>
      <c r="C7" s="47">
        <v>0</v>
      </c>
      <c r="D7" s="48">
        <f>+B7/$B$18</f>
        <v>8.3333333333333329E-2</v>
      </c>
      <c r="E7" s="187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0">
        <f>+$B$7*2</f>
        <v>689705399.65999997</v>
      </c>
      <c r="C8" s="47">
        <v>0</v>
      </c>
      <c r="D8" s="48">
        <f>+B8/$B$18</f>
        <v>0.16666666666666666</v>
      </c>
      <c r="E8" s="187">
        <f t="shared" ref="D8:E18" si="0">+C8/$B$18</f>
        <v>0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0">
        <f>+$B$7*3</f>
        <v>1034558099.49</v>
      </c>
      <c r="C9" s="47">
        <v>0</v>
      </c>
      <c r="D9" s="48">
        <f t="shared" si="0"/>
        <v>0.25</v>
      </c>
      <c r="E9" s="187">
        <f t="shared" si="0"/>
        <v>0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0">
        <f>+$B$7*4</f>
        <v>1379410799.3199999</v>
      </c>
      <c r="C10" s="47">
        <v>0</v>
      </c>
      <c r="D10" s="48">
        <f t="shared" si="0"/>
        <v>0.33333333333333331</v>
      </c>
      <c r="E10" s="187">
        <f t="shared" si="0"/>
        <v>0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0">
        <f>+$B$7*5</f>
        <v>1724263499.1499999</v>
      </c>
      <c r="C11" s="47">
        <v>0</v>
      </c>
      <c r="D11" s="48">
        <f t="shared" si="0"/>
        <v>0.41666666666666663</v>
      </c>
      <c r="E11" s="187">
        <f t="shared" si="0"/>
        <v>0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0">
        <f>+$B$7*6</f>
        <v>2069116198.98</v>
      </c>
      <c r="C12" s="47">
        <v>0</v>
      </c>
      <c r="D12" s="48">
        <f t="shared" si="0"/>
        <v>0.5</v>
      </c>
      <c r="E12" s="187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0">
        <f>+$B$7*7</f>
        <v>2413968898.8099999</v>
      </c>
      <c r="C13" s="47">
        <v>0</v>
      </c>
      <c r="D13" s="48">
        <f t="shared" si="0"/>
        <v>0.58333333333333326</v>
      </c>
      <c r="E13" s="187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0">
        <f>+$B$7*8</f>
        <v>2758821598.6399999</v>
      </c>
      <c r="C14" s="47">
        <v>0</v>
      </c>
      <c r="D14" s="48">
        <f t="shared" si="0"/>
        <v>0.66666666666666663</v>
      </c>
      <c r="E14" s="187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0">
        <f>+$B$7*9</f>
        <v>3103674298.4699998</v>
      </c>
      <c r="C15" s="47">
        <v>0</v>
      </c>
      <c r="D15" s="48">
        <f>+B15/$B$18</f>
        <v>0.74999999999999989</v>
      </c>
      <c r="E15" s="187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0">
        <f>+$B$7*10</f>
        <v>3448526998.2999997</v>
      </c>
      <c r="C16" s="47">
        <v>0</v>
      </c>
      <c r="D16" s="48">
        <f>+B16/$B$18</f>
        <v>0.83333333333333326</v>
      </c>
      <c r="E16" s="187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0">
        <f>+$B$7*11</f>
        <v>3793379698.1299996</v>
      </c>
      <c r="C17" s="47">
        <v>0</v>
      </c>
      <c r="D17" s="48">
        <f>+B17/$B$18</f>
        <v>0.91666666666666652</v>
      </c>
      <c r="E17" s="187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20">
        <f>+$B$7*12</f>
        <v>4138232397.96</v>
      </c>
      <c r="C18" s="221">
        <v>0</v>
      </c>
      <c r="D18" s="56">
        <f>+B18/$B$18</f>
        <v>1</v>
      </c>
      <c r="E18" s="222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0866141732283472" right="0.70866141732283472" top="0.74803149606299213" bottom="0.74803149606299213" header="0.31496062992125984" footer="0.31496062992125984"/>
  <pageSetup paperSize="119" scale="6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14"/>
  <sheetViews>
    <sheetView tabSelected="1" zoomScale="95" zoomScaleNormal="95" workbookViewId="0">
      <selection activeCell="F8" sqref="F8"/>
    </sheetView>
  </sheetViews>
  <sheetFormatPr baseColWidth="10" defaultRowHeight="12.75" x14ac:dyDescent="0.2"/>
  <cols>
    <col min="1" max="1" width="17" customWidth="1"/>
    <col min="2" max="2" width="53.5703125" customWidth="1"/>
    <col min="3" max="7" width="16.7109375" customWidth="1"/>
    <col min="8" max="8" width="15.28515625" customWidth="1"/>
    <col min="9" max="12" width="11" customWidth="1"/>
  </cols>
  <sheetData>
    <row r="1" spans="1:12" ht="48" customHeight="1" x14ac:dyDescent="0.2"/>
    <row r="2" spans="1:12" ht="20.25" customHeight="1" x14ac:dyDescent="0.2">
      <c r="B2" s="279" t="s">
        <v>42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</row>
    <row r="3" spans="1:12" ht="26.25" customHeight="1" thickBot="1" x14ac:dyDescent="0.25">
      <c r="B3" s="280" t="s">
        <v>125</v>
      </c>
      <c r="C3" s="280"/>
      <c r="D3" s="280"/>
      <c r="E3" s="280"/>
      <c r="F3" s="280"/>
      <c r="G3" s="280"/>
      <c r="H3" s="280"/>
      <c r="I3" s="280"/>
      <c r="J3" s="280"/>
      <c r="K3" s="280"/>
      <c r="L3" s="280"/>
    </row>
    <row r="4" spans="1:12" ht="86.25" customHeight="1" thickBot="1" x14ac:dyDescent="0.25">
      <c r="A4" s="193" t="s">
        <v>110</v>
      </c>
      <c r="B4" s="60" t="s">
        <v>20</v>
      </c>
      <c r="C4" s="60" t="s">
        <v>113</v>
      </c>
      <c r="D4" s="60" t="str">
        <f>'EJECUCIÓN DE GASTOS'!D4</f>
        <v>ADICIÓN</v>
      </c>
      <c r="E4" s="60" t="s">
        <v>21</v>
      </c>
      <c r="F4" s="61" t="s">
        <v>22</v>
      </c>
      <c r="G4" s="61" t="s">
        <v>23</v>
      </c>
      <c r="H4" s="62" t="s">
        <v>24</v>
      </c>
      <c r="I4" s="63" t="s">
        <v>43</v>
      </c>
      <c r="J4" s="63" t="s">
        <v>28</v>
      </c>
      <c r="K4" s="63" t="s">
        <v>29</v>
      </c>
      <c r="L4" s="155" t="s">
        <v>30</v>
      </c>
    </row>
    <row r="5" spans="1:12" ht="55.5" customHeight="1" thickBot="1" x14ac:dyDescent="0.25">
      <c r="A5" s="245" t="s">
        <v>131</v>
      </c>
      <c r="B5" s="246" t="s">
        <v>124</v>
      </c>
      <c r="C5" s="150">
        <v>4138232398</v>
      </c>
      <c r="D5" s="150"/>
      <c r="E5" s="150">
        <f>C5+D5</f>
        <v>4138232398</v>
      </c>
      <c r="F5" s="40">
        <v>35160482</v>
      </c>
      <c r="G5" s="40">
        <v>0</v>
      </c>
      <c r="H5" s="40">
        <v>0</v>
      </c>
      <c r="I5" s="156">
        <v>1</v>
      </c>
      <c r="J5" s="156">
        <f>F5/E5</f>
        <v>8.4964976875133921E-3</v>
      </c>
      <c r="K5" s="157">
        <f>G5/E5</f>
        <v>0</v>
      </c>
      <c r="L5" s="157">
        <f>H5/E5</f>
        <v>0</v>
      </c>
    </row>
    <row r="6" spans="1:12" ht="55.5" hidden="1" customHeight="1" thickBot="1" x14ac:dyDescent="0.25">
      <c r="A6" s="191"/>
      <c r="B6" s="192"/>
      <c r="C6" s="150"/>
      <c r="D6" s="150"/>
      <c r="E6" s="150"/>
      <c r="F6" s="40"/>
      <c r="G6" s="40"/>
      <c r="H6" s="40"/>
      <c r="I6" s="156"/>
      <c r="J6" s="156" t="e">
        <f t="shared" ref="J6:J7" si="0">F6/E6</f>
        <v>#DIV/0!</v>
      </c>
      <c r="K6" s="157" t="e">
        <f t="shared" ref="K6:K7" si="1">G6/E6</f>
        <v>#DIV/0!</v>
      </c>
      <c r="L6" s="157" t="e">
        <f t="shared" ref="L6:L7" si="2">H6/E6</f>
        <v>#DIV/0!</v>
      </c>
    </row>
    <row r="7" spans="1:12" ht="55.5" hidden="1" customHeight="1" thickBot="1" x14ac:dyDescent="0.25">
      <c r="A7" s="191"/>
      <c r="B7" s="192"/>
      <c r="C7" s="150"/>
      <c r="D7" s="150"/>
      <c r="E7" s="150"/>
      <c r="F7" s="40"/>
      <c r="G7" s="40"/>
      <c r="H7" s="40"/>
      <c r="I7" s="156"/>
      <c r="J7" s="156" t="e">
        <f t="shared" si="0"/>
        <v>#DIV/0!</v>
      </c>
      <c r="K7" s="157" t="e">
        <f t="shared" si="1"/>
        <v>#DIV/0!</v>
      </c>
      <c r="L7" s="157" t="e">
        <f t="shared" si="2"/>
        <v>#DIV/0!</v>
      </c>
    </row>
    <row r="8" spans="1:12" ht="26.25" customHeight="1" thickBot="1" x14ac:dyDescent="0.25">
      <c r="B8" s="176"/>
      <c r="C8" s="150">
        <f>+SUM(C5:C7)</f>
        <v>4138232398</v>
      </c>
      <c r="D8" s="150">
        <f>SUM(D5)</f>
        <v>0</v>
      </c>
      <c r="E8" s="150">
        <f>SUM(E5:E7)</f>
        <v>4138232398</v>
      </c>
      <c r="F8" s="150">
        <f>+SUM(F5:F7)</f>
        <v>35160482</v>
      </c>
      <c r="G8" s="175">
        <f>+SUM(G5:G7)</f>
        <v>0</v>
      </c>
      <c r="H8" s="175">
        <f>+SUM(H5:H7)</f>
        <v>0</v>
      </c>
      <c r="I8" s="158">
        <v>1</v>
      </c>
      <c r="J8" s="156">
        <f>F8/E8</f>
        <v>8.4964976875133921E-3</v>
      </c>
      <c r="K8" s="157">
        <f>G8/E8</f>
        <v>0</v>
      </c>
      <c r="L8" s="157">
        <f>H8/E8</f>
        <v>0</v>
      </c>
    </row>
    <row r="11" spans="1:12" x14ac:dyDescent="0.2">
      <c r="A11" s="45"/>
    </row>
    <row r="12" spans="1:12" x14ac:dyDescent="0.2">
      <c r="A12" s="154"/>
    </row>
    <row r="14" spans="1:12" x14ac:dyDescent="0.2">
      <c r="A14" s="45"/>
    </row>
  </sheetData>
  <mergeCells count="2">
    <mergeCell ref="B2:L2"/>
    <mergeCell ref="B3:L3"/>
  </mergeCells>
  <pageMargins left="0.70866141732283472" right="0.70866141732283472" top="0.74803149606299213" bottom="0.74803149606299213" header="0.31496062992125984" footer="0.31496062992125984"/>
  <pageSetup paperSize="5" scale="3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81" t="s">
        <v>60</v>
      </c>
      <c r="B16" s="282"/>
      <c r="C16" s="282"/>
      <c r="D16" s="282"/>
      <c r="E16" s="282"/>
      <c r="F16" s="283"/>
    </row>
    <row r="17" spans="1:6" ht="25.5" customHeight="1" thickBot="1" x14ac:dyDescent="0.25">
      <c r="A17" s="284"/>
      <c r="B17" s="285"/>
      <c r="C17" s="285"/>
      <c r="D17" s="285"/>
      <c r="E17" s="285"/>
      <c r="F17" s="286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87" t="str">
        <f>+A16</f>
        <v>EJECUCIÓN PRESUPUESTAL
RESERVAS PRESUPUESTALES
A AGOSTO 31 DE 2015</v>
      </c>
      <c r="B31" s="288"/>
      <c r="C31" s="288"/>
      <c r="D31" s="288"/>
      <c r="E31" s="289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53" t="s">
        <v>88</v>
      </c>
      <c r="B2" s="254"/>
      <c r="C2" s="254"/>
      <c r="D2" s="254"/>
      <c r="E2" s="254"/>
      <c r="F2" s="254"/>
      <c r="G2" s="255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90" t="s">
        <v>65</v>
      </c>
      <c r="B19" s="291"/>
      <c r="C19" s="292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56" t="s">
        <v>65</v>
      </c>
      <c r="B28" s="293"/>
      <c r="C28" s="293"/>
      <c r="D28" s="257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F14"/>
  <sheetViews>
    <sheetView workbookViewId="0">
      <selection activeCell="C27" sqref="C27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53" t="s">
        <v>123</v>
      </c>
      <c r="B2" s="254"/>
      <c r="C2" s="254"/>
      <c r="D2" s="255"/>
    </row>
    <row r="3" spans="1:6" s="113" customFormat="1" ht="39" thickBot="1" x14ac:dyDescent="0.25">
      <c r="A3" s="110" t="s">
        <v>106</v>
      </c>
      <c r="B3" s="111" t="s">
        <v>118</v>
      </c>
      <c r="C3" s="112" t="s">
        <v>119</v>
      </c>
      <c r="D3" s="111" t="s">
        <v>107</v>
      </c>
    </row>
    <row r="4" spans="1:6" ht="13.5" thickBot="1" x14ac:dyDescent="0.25">
      <c r="A4" s="114" t="s">
        <v>75</v>
      </c>
      <c r="B4" s="194">
        <v>1307045262</v>
      </c>
      <c r="C4" s="159">
        <f>'EJE INGRESOS'!H7</f>
        <v>53436953</v>
      </c>
      <c r="D4" s="160">
        <f>C4/B4</f>
        <v>4.0883781574811297E-2</v>
      </c>
      <c r="E4" s="117"/>
      <c r="F4" s="170"/>
    </row>
    <row r="5" spans="1:6" ht="13.5" thickBot="1" x14ac:dyDescent="0.25">
      <c r="A5" s="114" t="s">
        <v>76</v>
      </c>
      <c r="B5" s="195">
        <v>0</v>
      </c>
      <c r="C5" s="115">
        <v>0</v>
      </c>
      <c r="D5" s="160">
        <v>0</v>
      </c>
      <c r="E5" s="113"/>
      <c r="F5" s="118"/>
    </row>
    <row r="6" spans="1:6" ht="18.75" customHeight="1" thickBot="1" x14ac:dyDescent="0.25">
      <c r="A6" s="164" t="s">
        <v>85</v>
      </c>
      <c r="B6" s="165">
        <v>234513282</v>
      </c>
      <c r="C6" s="166">
        <v>0</v>
      </c>
      <c r="D6" s="160">
        <f t="shared" ref="D6" si="0">C6/B6</f>
        <v>0</v>
      </c>
      <c r="E6" s="113"/>
    </row>
    <row r="7" spans="1:6" ht="13.5" thickBot="1" x14ac:dyDescent="0.25">
      <c r="A7" s="167" t="s">
        <v>87</v>
      </c>
      <c r="B7" s="168">
        <f>SUM(B4:B6)</f>
        <v>1541558544</v>
      </c>
      <c r="C7" s="169">
        <f>SUM(C4:C6)</f>
        <v>53436953</v>
      </c>
      <c r="D7" s="184">
        <f>C7/B7</f>
        <v>3.4664238479936701E-2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56" t="s">
        <v>108</v>
      </c>
      <c r="B10" s="257"/>
      <c r="C10" s="171"/>
    </row>
    <row r="11" spans="1:6" ht="12.75" customHeight="1" x14ac:dyDescent="0.2">
      <c r="A11" s="125" t="s">
        <v>66</v>
      </c>
      <c r="B11" s="161">
        <v>2024</v>
      </c>
      <c r="C11" s="172"/>
    </row>
    <row r="12" spans="1:6" x14ac:dyDescent="0.2">
      <c r="A12" s="99" t="s">
        <v>69</v>
      </c>
      <c r="B12" s="101">
        <f>B7</f>
        <v>1541558544</v>
      </c>
      <c r="C12" s="173"/>
    </row>
    <row r="13" spans="1:6" x14ac:dyDescent="0.2">
      <c r="A13" s="162" t="s">
        <v>109</v>
      </c>
      <c r="B13" s="101">
        <f>C7</f>
        <v>53436953</v>
      </c>
      <c r="C13" s="173"/>
    </row>
    <row r="14" spans="1:6" ht="13.5" thickBot="1" x14ac:dyDescent="0.25">
      <c r="A14" s="102" t="s">
        <v>71</v>
      </c>
      <c r="B14" s="185">
        <f>+B13/B12</f>
        <v>3.4664238479936701E-2</v>
      </c>
      <c r="C14" s="174"/>
    </row>
  </sheetData>
  <mergeCells count="2">
    <mergeCell ref="A2:D2"/>
    <mergeCell ref="A10:B10"/>
  </mergeCells>
  <pageMargins left="0.70866141732283472" right="0.70866141732283472" top="0.74803149606299213" bottom="0.74803149606299213" header="0.31496062992125984" footer="0.31496062992125984"/>
  <pageSetup paperSize="11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0"/>
  <sheetViews>
    <sheetView topLeftCell="A7" workbookViewId="0">
      <selection activeCell="G6" sqref="G6"/>
    </sheetView>
  </sheetViews>
  <sheetFormatPr baseColWidth="10" defaultRowHeight="12.75" x14ac:dyDescent="0.2"/>
  <cols>
    <col min="1" max="1" width="16.28515625" customWidth="1"/>
    <col min="2" max="2" width="14.7109375" bestFit="1" customWidth="1"/>
    <col min="3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  <col min="14" max="14" width="13.42578125" customWidth="1"/>
    <col min="15" max="15" width="17.28515625" customWidth="1"/>
    <col min="16" max="16" width="12.7109375" customWidth="1"/>
    <col min="17" max="17" width="18.140625" bestFit="1" customWidth="1"/>
  </cols>
  <sheetData>
    <row r="1" spans="1:16" ht="51.75" customHeight="1" thickBot="1" x14ac:dyDescent="0.25"/>
    <row r="2" spans="1:16" ht="12.75" customHeight="1" x14ac:dyDescent="0.2">
      <c r="A2" s="258" t="s">
        <v>104</v>
      </c>
      <c r="B2" s="259"/>
      <c r="C2" s="259"/>
      <c r="D2" s="259"/>
      <c r="E2" s="259"/>
      <c r="F2" s="259"/>
      <c r="G2" s="259"/>
      <c r="H2" s="260"/>
      <c r="I2" s="14"/>
      <c r="J2" s="261" t="s">
        <v>102</v>
      </c>
      <c r="K2" s="261"/>
      <c r="L2" s="261"/>
    </row>
    <row r="3" spans="1:16" ht="13.5" customHeight="1" thickBot="1" x14ac:dyDescent="0.25">
      <c r="A3" s="247" t="s">
        <v>125</v>
      </c>
      <c r="B3" s="248"/>
      <c r="C3" s="248"/>
      <c r="D3" s="248"/>
      <c r="E3" s="248"/>
      <c r="F3" s="248"/>
      <c r="G3" s="248"/>
      <c r="H3" s="249"/>
      <c r="I3" s="14"/>
      <c r="J3" s="262"/>
      <c r="K3" s="262"/>
      <c r="L3" s="262"/>
    </row>
    <row r="4" spans="1:16" ht="93.75" customHeight="1" thickBot="1" x14ac:dyDescent="0.25">
      <c r="A4" s="1" t="s">
        <v>20</v>
      </c>
      <c r="B4" s="2" t="s">
        <v>113</v>
      </c>
      <c r="C4" s="215" t="s">
        <v>121</v>
      </c>
      <c r="D4" s="223" t="s">
        <v>122</v>
      </c>
      <c r="E4" s="2" t="s">
        <v>114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  <c r="P4" s="238"/>
    </row>
    <row r="5" spans="1:16" ht="15" customHeight="1" thickBot="1" x14ac:dyDescent="0.25">
      <c r="A5" s="4" t="s">
        <v>25</v>
      </c>
      <c r="B5" s="5">
        <v>7058908352</v>
      </c>
      <c r="C5" s="5">
        <v>1947019770</v>
      </c>
      <c r="D5" s="5">
        <v>1947019770</v>
      </c>
      <c r="E5" s="5">
        <f>B5+C5-D5</f>
        <v>7058908352</v>
      </c>
      <c r="F5" s="5">
        <v>3948381272</v>
      </c>
      <c r="G5" s="5">
        <v>2167422955</v>
      </c>
      <c r="H5" s="5">
        <v>1992769260</v>
      </c>
      <c r="J5" s="211">
        <f>F5/E5</f>
        <v>0.55934729211795264</v>
      </c>
      <c r="K5" s="212">
        <f>G5/E5</f>
        <v>0.30704789564039375</v>
      </c>
      <c r="L5" s="213">
        <f>H5/E5</f>
        <v>0.28230558616551366</v>
      </c>
      <c r="M5" s="45"/>
      <c r="N5" s="242"/>
      <c r="O5" s="243"/>
      <c r="P5" s="243"/>
    </row>
    <row r="6" spans="1:16" ht="13.5" thickBot="1" x14ac:dyDescent="0.25">
      <c r="A6" s="6" t="s">
        <v>27</v>
      </c>
      <c r="B6" s="7">
        <v>4138232398</v>
      </c>
      <c r="C6" s="7">
        <v>4138232398</v>
      </c>
      <c r="D6" s="7">
        <v>4138232398</v>
      </c>
      <c r="E6" s="5">
        <f>B6+C6-D6</f>
        <v>4138232398</v>
      </c>
      <c r="F6" s="7">
        <v>35160482</v>
      </c>
      <c r="G6" s="230">
        <v>0</v>
      </c>
      <c r="H6" s="7">
        <v>0</v>
      </c>
      <c r="J6" s="211">
        <f>F6/E6</f>
        <v>8.4964976875133921E-3</v>
      </c>
      <c r="K6" s="212">
        <f>G6/E6</f>
        <v>0</v>
      </c>
      <c r="L6" s="213">
        <f>H6/E6</f>
        <v>0</v>
      </c>
      <c r="M6" s="45"/>
      <c r="N6" s="237"/>
      <c r="O6" s="243"/>
      <c r="P6" s="237"/>
    </row>
    <row r="7" spans="1:16" ht="13.5" thickBot="1" x14ac:dyDescent="0.25">
      <c r="A7" s="8" t="s">
        <v>89</v>
      </c>
      <c r="B7" s="199">
        <f>+SUM(B5:B6)</f>
        <v>11197140750</v>
      </c>
      <c r="C7" s="199">
        <f>+SUM(C5:C6)</f>
        <v>6085252168</v>
      </c>
      <c r="D7" s="228">
        <f>D5+D6</f>
        <v>6085252168</v>
      </c>
      <c r="E7" s="201">
        <f>SUM(E5:E6)</f>
        <v>11197140750</v>
      </c>
      <c r="F7" s="200">
        <f>+SUM(F5:F6)</f>
        <v>3983541754</v>
      </c>
      <c r="G7" s="9">
        <f>+SUM(G5:G6)</f>
        <v>2167422955</v>
      </c>
      <c r="H7" s="9">
        <f>+SUM(H5:H6)</f>
        <v>1992769260</v>
      </c>
      <c r="J7" s="181">
        <f>F7/E7</f>
        <v>0.35576419399747206</v>
      </c>
      <c r="K7" s="182">
        <f>G7/B7</f>
        <v>0.1935693230434743</v>
      </c>
      <c r="L7" s="183">
        <f>H7/E7</f>
        <v>0.17797126110074127</v>
      </c>
      <c r="M7" s="45"/>
      <c r="N7" s="237"/>
      <c r="O7" s="243"/>
      <c r="P7" s="237"/>
    </row>
    <row r="8" spans="1:16" x14ac:dyDescent="0.2">
      <c r="N8" s="237"/>
      <c r="O8" s="243"/>
      <c r="P8" s="237"/>
    </row>
    <row r="9" spans="1:16" x14ac:dyDescent="0.2">
      <c r="N9" s="237"/>
      <c r="O9" s="243"/>
      <c r="P9" s="237"/>
    </row>
    <row r="10" spans="1:16" x14ac:dyDescent="0.2">
      <c r="N10" s="237"/>
      <c r="O10" s="243"/>
      <c r="P10" s="244"/>
    </row>
    <row r="17" spans="16:18" ht="24" customHeight="1" x14ac:dyDescent="0.2">
      <c r="P17" s="263"/>
      <c r="Q17" s="264"/>
      <c r="R17" s="265"/>
    </row>
    <row r="18" spans="16:18" ht="14.25" customHeight="1" x14ac:dyDescent="0.2">
      <c r="Q18" s="239"/>
      <c r="R18" s="241"/>
    </row>
    <row r="19" spans="16:18" x14ac:dyDescent="0.2">
      <c r="Q19" s="239"/>
      <c r="R19" s="241"/>
    </row>
    <row r="20" spans="16:18" x14ac:dyDescent="0.2">
      <c r="Q20" s="240"/>
      <c r="R20" s="241"/>
    </row>
  </sheetData>
  <mergeCells count="4">
    <mergeCell ref="A3:H3"/>
    <mergeCell ref="A2:H2"/>
    <mergeCell ref="J2:L3"/>
    <mergeCell ref="P17:R17"/>
  </mergeCells>
  <pageMargins left="0.7" right="0.7" top="0.75" bottom="0.75" header="0.3" footer="0.3"/>
  <pageSetup paperSize="5" scale="66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W18"/>
  <sheetViews>
    <sheetView topLeftCell="A7" zoomScale="93" zoomScaleNormal="93" workbookViewId="0">
      <selection activeCell="I9" sqref="I9"/>
    </sheetView>
  </sheetViews>
  <sheetFormatPr baseColWidth="10" defaultRowHeight="12.75" x14ac:dyDescent="0.2"/>
  <cols>
    <col min="2" max="2" width="18.85546875" customWidth="1"/>
    <col min="3" max="3" width="23.7109375" bestFit="1" customWidth="1"/>
    <col min="4" max="5" width="18.7109375" customWidth="1"/>
    <col min="6" max="6" width="17.28515625" customWidth="1"/>
    <col min="7" max="7" width="14.140625" bestFit="1" customWidth="1"/>
    <col min="8" max="9" width="13.7109375" bestFit="1" customWidth="1"/>
    <col min="11" max="11" width="14.7109375" customWidth="1"/>
    <col min="12" max="12" width="14.5703125" customWidth="1"/>
    <col min="13" max="13" width="13.28515625" customWidth="1"/>
    <col min="15" max="15" width="17.7109375" customWidth="1"/>
    <col min="16" max="16" width="12.7109375" bestFit="1" customWidth="1"/>
  </cols>
  <sheetData>
    <row r="1" spans="2:23" ht="48.75" customHeight="1" x14ac:dyDescent="0.2"/>
    <row r="2" spans="2:23" ht="12.75" customHeight="1" x14ac:dyDescent="0.2">
      <c r="B2" s="266" t="s">
        <v>103</v>
      </c>
      <c r="C2" s="266"/>
      <c r="D2" s="266"/>
      <c r="E2" s="266"/>
      <c r="F2" s="266"/>
      <c r="G2" s="266"/>
      <c r="H2" s="266"/>
      <c r="I2" s="266"/>
      <c r="J2" s="14"/>
      <c r="K2" s="14"/>
      <c r="L2" s="14"/>
    </row>
    <row r="3" spans="2:23" ht="24.75" customHeight="1" thickBot="1" x14ac:dyDescent="0.25">
      <c r="B3" s="247" t="s">
        <v>126</v>
      </c>
      <c r="C3" s="248"/>
      <c r="D3" s="248"/>
      <c r="E3" s="248"/>
      <c r="F3" s="248"/>
      <c r="G3" s="248"/>
      <c r="H3" s="248"/>
      <c r="I3" s="249"/>
      <c r="J3" s="14"/>
      <c r="K3" s="14"/>
      <c r="L3" s="14"/>
    </row>
    <row r="4" spans="2:23" ht="105" customHeight="1" thickBot="1" x14ac:dyDescent="0.25">
      <c r="B4" s="1" t="s">
        <v>20</v>
      </c>
      <c r="C4" s="2" t="s">
        <v>113</v>
      </c>
      <c r="D4" s="214" t="s">
        <v>121</v>
      </c>
      <c r="E4" s="223" t="s">
        <v>122</v>
      </c>
      <c r="F4" s="231" t="s">
        <v>114</v>
      </c>
      <c r="G4" s="3" t="s">
        <v>22</v>
      </c>
      <c r="H4" s="3" t="s">
        <v>23</v>
      </c>
      <c r="I4" s="3" t="s">
        <v>24</v>
      </c>
      <c r="J4" s="14"/>
      <c r="K4" s="151" t="s">
        <v>22</v>
      </c>
      <c r="L4" s="152" t="s">
        <v>23</v>
      </c>
      <c r="M4" s="153" t="s">
        <v>24</v>
      </c>
    </row>
    <row r="5" spans="2:23" s="216" customFormat="1" ht="24.75" thickBot="1" x14ac:dyDescent="0.25">
      <c r="B5" s="4" t="s">
        <v>31</v>
      </c>
      <c r="C5" s="5">
        <v>3060729352</v>
      </c>
      <c r="D5" s="229">
        <v>867019770</v>
      </c>
      <c r="E5" s="5">
        <v>0</v>
      </c>
      <c r="F5" s="232">
        <f>C5+D5-E5</f>
        <v>3927749122</v>
      </c>
      <c r="G5" s="5">
        <v>1998857522</v>
      </c>
      <c r="H5" s="5">
        <v>1329037392</v>
      </c>
      <c r="I5" s="5">
        <v>1191234082</v>
      </c>
      <c r="J5" s="14"/>
      <c r="K5" s="211">
        <f>G5/F5</f>
        <v>0.50890661799249204</v>
      </c>
      <c r="L5" s="211">
        <f>H5/F5</f>
        <v>0.33837125303035076</v>
      </c>
      <c r="M5" s="211">
        <f>I5/F5</f>
        <v>0.30328670314702449</v>
      </c>
      <c r="O5" s="217"/>
      <c r="P5" s="217"/>
    </row>
    <row r="6" spans="2:23" ht="24.75" thickBot="1" x14ac:dyDescent="0.25">
      <c r="B6" s="4" t="s">
        <v>112</v>
      </c>
      <c r="C6" s="5">
        <v>1266158636</v>
      </c>
      <c r="D6" s="5">
        <v>1080000000</v>
      </c>
      <c r="E6" s="5">
        <v>0</v>
      </c>
      <c r="F6" s="232">
        <f>C6+D6-E6</f>
        <v>2346158636</v>
      </c>
      <c r="G6" s="5">
        <v>1831997372</v>
      </c>
      <c r="H6" s="5">
        <v>729833027</v>
      </c>
      <c r="I6" s="5">
        <v>692982642</v>
      </c>
      <c r="J6" s="14"/>
      <c r="K6" s="211">
        <f>G6/F6</f>
        <v>0.78084974472288837</v>
      </c>
      <c r="L6" s="211">
        <f>H6/F6</f>
        <v>0.31107573707986896</v>
      </c>
      <c r="M6" s="211">
        <f>I6/F6</f>
        <v>0.29536904767082423</v>
      </c>
      <c r="O6" s="45"/>
    </row>
    <row r="7" spans="2:23" ht="24.75" thickBot="1" x14ac:dyDescent="0.25">
      <c r="B7" s="4" t="s">
        <v>111</v>
      </c>
      <c r="C7" s="5">
        <v>2732020364</v>
      </c>
      <c r="D7" s="5">
        <v>0</v>
      </c>
      <c r="E7" s="5">
        <v>1947019770</v>
      </c>
      <c r="F7" s="232">
        <f>C7+D7-E7</f>
        <v>785000594</v>
      </c>
      <c r="G7" s="5">
        <v>117526378</v>
      </c>
      <c r="H7" s="5">
        <v>108552536</v>
      </c>
      <c r="I7" s="5">
        <v>108552536</v>
      </c>
      <c r="J7" s="14"/>
      <c r="K7" s="211">
        <f>G7/F7</f>
        <v>0.14971501792264885</v>
      </c>
      <c r="L7" s="211">
        <f>H7/F7</f>
        <v>0.13828338071295779</v>
      </c>
      <c r="M7" s="211">
        <f>I7/F7</f>
        <v>0.13828338071295779</v>
      </c>
      <c r="O7" s="45"/>
    </row>
    <row r="8" spans="2:23" ht="48.75" hidden="1" thickBot="1" x14ac:dyDescent="0.25">
      <c r="B8" s="6" t="s">
        <v>116</v>
      </c>
      <c r="C8" s="7">
        <v>0</v>
      </c>
      <c r="D8" s="7">
        <v>0</v>
      </c>
      <c r="E8" s="7">
        <v>0</v>
      </c>
      <c r="F8" s="233">
        <f t="shared" ref="F8" si="0">C8+D8-E8</f>
        <v>0</v>
      </c>
      <c r="G8" s="7">
        <v>0</v>
      </c>
      <c r="H8" s="7">
        <v>0</v>
      </c>
      <c r="I8" s="7">
        <v>0</v>
      </c>
      <c r="J8" s="14"/>
      <c r="K8" s="211" t="e">
        <f>G8/F8</f>
        <v>#DIV/0!</v>
      </c>
      <c r="L8" s="211" t="e">
        <f>H8/F8</f>
        <v>#DIV/0!</v>
      </c>
      <c r="M8" s="211" t="e">
        <f>I8/F8</f>
        <v>#DIV/0!</v>
      </c>
      <c r="O8" s="45"/>
    </row>
    <row r="9" spans="2:23" ht="13.5" thickBot="1" x14ac:dyDescent="0.25">
      <c r="B9" s="6" t="s">
        <v>27</v>
      </c>
      <c r="C9" s="7">
        <f>'EJE DE FUNCIONAMIENTO E INVERSI'!B6</f>
        <v>4138232398</v>
      </c>
      <c r="D9" s="7">
        <f>'EJE DE FUNCIONAMIENTO E INVERSI'!C6</f>
        <v>4138232398</v>
      </c>
      <c r="E9" s="7">
        <v>4138232398</v>
      </c>
      <c r="F9" s="234">
        <f>'EJE DE FUNCIONAMIENTO E INVERSI'!E6</f>
        <v>4138232398</v>
      </c>
      <c r="G9" s="7">
        <f>'EJE DE FUNCIONAMIENTO E INVERSI'!F6</f>
        <v>35160482</v>
      </c>
      <c r="H9" s="7">
        <f>'EJE DE FUNCIONAMIENTO E INVERSI'!G6</f>
        <v>0</v>
      </c>
      <c r="I9" s="7">
        <f>'EJE DE FUNCIONAMIENTO E INVERSI'!H6</f>
        <v>0</v>
      </c>
      <c r="J9" s="14"/>
      <c r="K9" s="211">
        <f>G9/F9</f>
        <v>8.4964976875133921E-3</v>
      </c>
      <c r="L9" s="211">
        <f>H9/F9</f>
        <v>0</v>
      </c>
      <c r="M9" s="211">
        <f>I9/F9</f>
        <v>0</v>
      </c>
      <c r="N9" s="45"/>
      <c r="O9" s="45"/>
      <c r="P9" s="45"/>
    </row>
    <row r="10" spans="2:23" ht="13.5" hidden="1" thickBot="1" x14ac:dyDescent="0.25">
      <c r="B10" s="4" t="s">
        <v>26</v>
      </c>
      <c r="C10" s="5">
        <v>0</v>
      </c>
      <c r="D10" s="5"/>
      <c r="E10" s="5"/>
      <c r="F10" s="233"/>
      <c r="G10" s="5">
        <v>0</v>
      </c>
      <c r="H10" s="5">
        <v>0</v>
      </c>
      <c r="I10" s="5">
        <v>0</v>
      </c>
      <c r="J10" s="14"/>
      <c r="K10" s="181" t="e">
        <f t="shared" ref="K10" si="1">G10/F10</f>
        <v>#DIV/0!</v>
      </c>
      <c r="L10" s="181" t="e">
        <f t="shared" ref="L10" si="2">H10/F10</f>
        <v>#DIV/0!</v>
      </c>
      <c r="M10" s="181" t="e">
        <f t="shared" ref="M10" si="3">I10/F10</f>
        <v>#DIV/0!</v>
      </c>
    </row>
    <row r="11" spans="2:23" ht="13.5" thickBot="1" x14ac:dyDescent="0.25">
      <c r="B11" s="8" t="s">
        <v>89</v>
      </c>
      <c r="C11" s="9">
        <f>+SUM(C5:C10)</f>
        <v>11197140750</v>
      </c>
      <c r="D11" s="9">
        <f>+SUM(D5:D10)</f>
        <v>6085252168</v>
      </c>
      <c r="E11" s="9">
        <f>E5+E6+E7+E8+E9</f>
        <v>6085252168</v>
      </c>
      <c r="F11" s="235">
        <f t="shared" ref="F11" si="4">+SUM(F5:F10)</f>
        <v>11197140750</v>
      </c>
      <c r="G11" s="9">
        <f>+SUM(G5:G10)</f>
        <v>3983541754</v>
      </c>
      <c r="H11" s="9">
        <f>+SUM(H5:H10)</f>
        <v>2167422955</v>
      </c>
      <c r="I11" s="9">
        <f>+SUM(I5:I10)</f>
        <v>1992769260</v>
      </c>
      <c r="J11" s="14"/>
      <c r="K11" s="181">
        <f>G11/F11</f>
        <v>0.35576419399747206</v>
      </c>
      <c r="L11" s="181">
        <f>H11/F11</f>
        <v>0.1935693230434743</v>
      </c>
      <c r="M11" s="181">
        <f>I11/F11</f>
        <v>0.17797126110074127</v>
      </c>
      <c r="O11" s="154"/>
    </row>
    <row r="12" spans="2:23" x14ac:dyDescent="0.2">
      <c r="D12" s="45"/>
      <c r="J12" s="14"/>
      <c r="K12" s="14"/>
      <c r="L12" s="14"/>
    </row>
    <row r="13" spans="2:23" x14ac:dyDescent="0.2">
      <c r="N13" s="237"/>
      <c r="O13" s="267"/>
      <c r="P13" s="267"/>
      <c r="Q13" s="267"/>
      <c r="R13" s="267"/>
      <c r="S13" s="267"/>
      <c r="T13" s="267"/>
      <c r="U13" s="267"/>
      <c r="V13" s="267"/>
      <c r="W13" s="237"/>
    </row>
    <row r="14" spans="2:23" x14ac:dyDescent="0.2">
      <c r="N14" s="237"/>
      <c r="O14" s="237"/>
      <c r="P14" s="237"/>
      <c r="Q14" s="237"/>
      <c r="R14" s="237"/>
      <c r="S14" s="237"/>
      <c r="T14" s="237"/>
      <c r="U14" s="237"/>
      <c r="V14" s="237"/>
      <c r="W14" s="237"/>
    </row>
    <row r="18" spans="16:16" x14ac:dyDescent="0.2">
      <c r="P18" s="45"/>
    </row>
  </sheetData>
  <mergeCells count="3">
    <mergeCell ref="B3:I3"/>
    <mergeCell ref="B2:I2"/>
    <mergeCell ref="O13:V13"/>
  </mergeCells>
  <pageMargins left="0.70866141732283472" right="0.70866141732283472" top="0.74803149606299213" bottom="0.74803149606299213" header="0.31496062992125984" footer="0.31496062992125984"/>
  <pageSetup paperSize="5" scale="52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68" t="s">
        <v>19</v>
      </c>
      <c r="B2" s="269"/>
      <c r="C2" s="269"/>
      <c r="D2" s="269"/>
    </row>
    <row r="3" spans="1:4" ht="27" customHeight="1" x14ac:dyDescent="0.25">
      <c r="A3" s="269"/>
      <c r="B3" s="269"/>
      <c r="C3" s="269"/>
      <c r="D3" s="269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31"/>
  <sheetViews>
    <sheetView workbookViewId="0">
      <selection activeCell="C11" sqref="C11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70" t="s">
        <v>127</v>
      </c>
      <c r="B4" s="271"/>
      <c r="C4" s="271"/>
      <c r="D4" s="271"/>
      <c r="E4" s="272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255060779.33000001</v>
      </c>
      <c r="C6" s="30">
        <v>200166806</v>
      </c>
      <c r="D6" s="31">
        <f>+B6/$B$17</f>
        <v>8.3333333332244269E-2</v>
      </c>
      <c r="E6" s="177">
        <f>+C6/$B$17</f>
        <v>6.5398401158600711E-2</v>
      </c>
    </row>
    <row r="7" spans="1:5" x14ac:dyDescent="0.2">
      <c r="A7" s="22" t="s">
        <v>7</v>
      </c>
      <c r="B7" s="19">
        <f>+$B$6*2</f>
        <v>510121558.66000003</v>
      </c>
      <c r="C7" s="19">
        <v>404494551</v>
      </c>
      <c r="D7" s="20">
        <f t="shared" ref="D7:D17" si="0">+B7/$B$17</f>
        <v>0.16666666666448854</v>
      </c>
      <c r="E7" s="179">
        <f t="shared" ref="E7:E17" si="1">+C7/$B$17</f>
        <v>0.13215626227640398</v>
      </c>
    </row>
    <row r="8" spans="1:5" x14ac:dyDescent="0.2">
      <c r="A8" s="22" t="s">
        <v>8</v>
      </c>
      <c r="B8" s="19">
        <f>+$B$6*3</f>
        <v>765182337.99000001</v>
      </c>
      <c r="C8" s="19">
        <v>589103088</v>
      </c>
      <c r="D8" s="20">
        <f t="shared" si="0"/>
        <v>0.24999999999673281</v>
      </c>
      <c r="E8" s="179">
        <f t="shared" si="1"/>
        <v>0.1924714733810283</v>
      </c>
    </row>
    <row r="9" spans="1:5" x14ac:dyDescent="0.2">
      <c r="A9" s="22" t="s">
        <v>9</v>
      </c>
      <c r="B9" s="19">
        <f>+$B$6*4</f>
        <v>1020243117.3200001</v>
      </c>
      <c r="C9" s="19">
        <v>1016930910</v>
      </c>
      <c r="D9" s="20">
        <f t="shared" si="0"/>
        <v>0.33333333332897708</v>
      </c>
      <c r="E9" s="179">
        <f t="shared" si="1"/>
        <v>0.33225117057001385</v>
      </c>
    </row>
    <row r="10" spans="1:5" x14ac:dyDescent="0.2">
      <c r="A10" s="22" t="s">
        <v>10</v>
      </c>
      <c r="B10" s="19">
        <f>+$B$6*5</f>
        <v>1275303896.6500001</v>
      </c>
      <c r="C10" s="19">
        <v>1329037392</v>
      </c>
      <c r="D10" s="20">
        <f t="shared" si="0"/>
        <v>0.41666666666122137</v>
      </c>
      <c r="E10" s="179">
        <f t="shared" si="1"/>
        <v>0.43422244803564714</v>
      </c>
    </row>
    <row r="11" spans="1:5" x14ac:dyDescent="0.2">
      <c r="A11" s="22" t="s">
        <v>11</v>
      </c>
      <c r="B11" s="19">
        <f>+$B$6*6</f>
        <v>1530364675.98</v>
      </c>
      <c r="C11" s="19">
        <v>0</v>
      </c>
      <c r="D11" s="20">
        <f t="shared" si="0"/>
        <v>0.49999999999346562</v>
      </c>
      <c r="E11" s="179">
        <f t="shared" si="1"/>
        <v>0</v>
      </c>
    </row>
    <row r="12" spans="1:5" x14ac:dyDescent="0.2">
      <c r="A12" s="22" t="s">
        <v>12</v>
      </c>
      <c r="B12" s="19">
        <f>+$B$6*7</f>
        <v>1785425455.3100002</v>
      </c>
      <c r="C12" s="19">
        <v>0</v>
      </c>
      <c r="D12" s="20">
        <f t="shared" si="0"/>
        <v>0.58333333332570991</v>
      </c>
      <c r="E12" s="179">
        <f t="shared" si="1"/>
        <v>0</v>
      </c>
    </row>
    <row r="13" spans="1:5" x14ac:dyDescent="0.2">
      <c r="A13" s="22" t="s">
        <v>13</v>
      </c>
      <c r="B13" s="19">
        <f>+$B$6*8</f>
        <v>2040486234.6400001</v>
      </c>
      <c r="C13" s="19">
        <v>0</v>
      </c>
      <c r="D13" s="20">
        <f t="shared" si="0"/>
        <v>0.66666666665795415</v>
      </c>
      <c r="E13" s="179">
        <f t="shared" si="1"/>
        <v>0</v>
      </c>
    </row>
    <row r="14" spans="1:5" x14ac:dyDescent="0.2">
      <c r="A14" s="22" t="s">
        <v>14</v>
      </c>
      <c r="B14" s="19">
        <f>+$B$6*9</f>
        <v>2295547013.9700003</v>
      </c>
      <c r="C14" s="19">
        <v>0</v>
      </c>
      <c r="D14" s="20">
        <f t="shared" si="0"/>
        <v>0.74999999999019851</v>
      </c>
      <c r="E14" s="179">
        <f t="shared" si="1"/>
        <v>0</v>
      </c>
    </row>
    <row r="15" spans="1:5" x14ac:dyDescent="0.2">
      <c r="A15" s="22" t="s">
        <v>15</v>
      </c>
      <c r="B15" s="19">
        <f>+$B$6*10</f>
        <v>2550607793.3000002</v>
      </c>
      <c r="C15" s="19">
        <v>0</v>
      </c>
      <c r="D15" s="20">
        <f t="shared" si="0"/>
        <v>0.83333333332244275</v>
      </c>
      <c r="E15" s="179">
        <f t="shared" si="1"/>
        <v>0</v>
      </c>
    </row>
    <row r="16" spans="1:5" x14ac:dyDescent="0.2">
      <c r="A16" s="22" t="s">
        <v>16</v>
      </c>
      <c r="B16" s="19">
        <f>+$B$6*11</f>
        <v>2805668572.6300001</v>
      </c>
      <c r="C16" s="218">
        <v>0</v>
      </c>
      <c r="D16" s="20">
        <f t="shared" si="0"/>
        <v>0.91666666665468699</v>
      </c>
      <c r="E16" s="179">
        <f t="shared" si="1"/>
        <v>0</v>
      </c>
    </row>
    <row r="17" spans="1:5" ht="13.5" thickBot="1" x14ac:dyDescent="0.25">
      <c r="A17" s="24" t="s">
        <v>17</v>
      </c>
      <c r="B17" s="25">
        <f>+$B$6*12+0.04</f>
        <v>3060729352</v>
      </c>
      <c r="C17" s="25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8"/>
    </row>
    <row r="19" spans="1:5" x14ac:dyDescent="0.2">
      <c r="B19" s="13"/>
      <c r="C19" s="196"/>
      <c r="D19" s="196"/>
    </row>
    <row r="20" spans="1:5" x14ac:dyDescent="0.2">
      <c r="A20" s="198"/>
      <c r="B20" s="13"/>
    </row>
    <row r="21" spans="1:5" x14ac:dyDescent="0.2">
      <c r="B21" s="13"/>
      <c r="C21" s="196"/>
      <c r="D21" s="197"/>
    </row>
    <row r="22" spans="1:5" x14ac:dyDescent="0.2">
      <c r="B22" s="13"/>
      <c r="D22" s="198"/>
    </row>
    <row r="23" spans="1:5" x14ac:dyDescent="0.2">
      <c r="B23" s="13"/>
      <c r="D23" s="198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31"/>
  <sheetViews>
    <sheetView workbookViewId="0">
      <selection activeCell="D10" sqref="D10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73" t="s">
        <v>128</v>
      </c>
      <c r="B4" s="274"/>
      <c r="C4" s="274"/>
      <c r="D4" s="274"/>
      <c r="E4" s="275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0">
        <v>105513219.67</v>
      </c>
      <c r="C6" s="21">
        <v>29615692</v>
      </c>
      <c r="D6" s="20">
        <f>+B6/$B$17</f>
        <v>8.3333333335965973E-2</v>
      </c>
      <c r="E6" s="179">
        <f>+C6/$B$17</f>
        <v>2.3390190737521455E-2</v>
      </c>
    </row>
    <row r="7" spans="1:5" x14ac:dyDescent="0.2">
      <c r="A7" s="22" t="s">
        <v>7</v>
      </c>
      <c r="B7" s="190">
        <f>+$B$6*2</f>
        <v>211026439.34</v>
      </c>
      <c r="C7" s="21">
        <v>102520816</v>
      </c>
      <c r="D7" s="20">
        <f t="shared" ref="D7:D17" si="0">+B7/$B$17</f>
        <v>0.16666666667193195</v>
      </c>
      <c r="E7" s="179">
        <f t="shared" ref="E7:E17" si="1">+C7/$B$17</f>
        <v>8.0969961492250164E-2</v>
      </c>
    </row>
    <row r="8" spans="1:5" x14ac:dyDescent="0.2">
      <c r="A8" s="22" t="s">
        <v>8</v>
      </c>
      <c r="B8" s="190">
        <f>+$B$6*3</f>
        <v>316539659.00999999</v>
      </c>
      <c r="C8" s="21">
        <v>246495457</v>
      </c>
      <c r="D8" s="20">
        <f t="shared" si="0"/>
        <v>0.2500000000078979</v>
      </c>
      <c r="E8" s="179">
        <f t="shared" si="1"/>
        <v>0.19467975812155658</v>
      </c>
    </row>
    <row r="9" spans="1:5" x14ac:dyDescent="0.2">
      <c r="A9" s="22" t="s">
        <v>9</v>
      </c>
      <c r="B9" s="190">
        <f>+$B$6*4</f>
        <v>422052878.68000001</v>
      </c>
      <c r="C9" s="21">
        <v>493699659</v>
      </c>
      <c r="D9" s="20">
        <f t="shared" si="0"/>
        <v>0.33333333334386389</v>
      </c>
      <c r="E9" s="179">
        <f t="shared" si="1"/>
        <v>0.38991927627621537</v>
      </c>
    </row>
    <row r="10" spans="1:5" x14ac:dyDescent="0.2">
      <c r="A10" s="22" t="s">
        <v>10</v>
      </c>
      <c r="B10" s="190">
        <f>+$B$6*5</f>
        <v>527566098.35000002</v>
      </c>
      <c r="C10" s="21">
        <v>739833027</v>
      </c>
      <c r="D10" s="20">
        <f t="shared" si="0"/>
        <v>0.41666666667982988</v>
      </c>
      <c r="E10" s="179">
        <f t="shared" si="1"/>
        <v>0.5843130599632067</v>
      </c>
    </row>
    <row r="11" spans="1:5" x14ac:dyDescent="0.2">
      <c r="A11" s="22" t="s">
        <v>11</v>
      </c>
      <c r="B11" s="190">
        <f>+$B$6*6</f>
        <v>633079318.01999998</v>
      </c>
      <c r="C11" s="21">
        <v>0</v>
      </c>
      <c r="D11" s="20">
        <f t="shared" si="0"/>
        <v>0.50000000001579581</v>
      </c>
      <c r="E11" s="179">
        <f t="shared" si="1"/>
        <v>0</v>
      </c>
    </row>
    <row r="12" spans="1:5" x14ac:dyDescent="0.2">
      <c r="A12" s="22" t="s">
        <v>12</v>
      </c>
      <c r="B12" s="190">
        <f>+$B$6*7</f>
        <v>738592537.69000006</v>
      </c>
      <c r="C12" s="21">
        <v>0</v>
      </c>
      <c r="D12" s="20">
        <f t="shared" si="0"/>
        <v>0.58333333335176185</v>
      </c>
      <c r="E12" s="179">
        <f t="shared" si="1"/>
        <v>0</v>
      </c>
    </row>
    <row r="13" spans="1:5" x14ac:dyDescent="0.2">
      <c r="A13" s="22" t="s">
        <v>13</v>
      </c>
      <c r="B13" s="190">
        <f>+$B$6*8</f>
        <v>844105757.36000001</v>
      </c>
      <c r="C13" s="21">
        <v>0</v>
      </c>
      <c r="D13" s="20">
        <f t="shared" si="0"/>
        <v>0.66666666668772778</v>
      </c>
      <c r="E13" s="179">
        <f t="shared" si="1"/>
        <v>0</v>
      </c>
    </row>
    <row r="14" spans="1:5" x14ac:dyDescent="0.2">
      <c r="A14" s="22" t="s">
        <v>14</v>
      </c>
      <c r="B14" s="190">
        <f>+$B$6*9</f>
        <v>949618977.02999997</v>
      </c>
      <c r="C14" s="21">
        <v>0</v>
      </c>
      <c r="D14" s="20">
        <f t="shared" si="0"/>
        <v>0.75000000002369371</v>
      </c>
      <c r="E14" s="179">
        <f t="shared" si="1"/>
        <v>0</v>
      </c>
    </row>
    <row r="15" spans="1:5" x14ac:dyDescent="0.2">
      <c r="A15" s="38" t="s">
        <v>15</v>
      </c>
      <c r="B15" s="190">
        <f>+$B$6*10</f>
        <v>1055132196.7</v>
      </c>
      <c r="C15" s="21">
        <v>0</v>
      </c>
      <c r="D15" s="20">
        <f t="shared" si="0"/>
        <v>0.83333333335965976</v>
      </c>
      <c r="E15" s="179">
        <f t="shared" si="1"/>
        <v>0</v>
      </c>
    </row>
    <row r="16" spans="1:5" x14ac:dyDescent="0.2">
      <c r="A16" s="38" t="s">
        <v>16</v>
      </c>
      <c r="B16" s="190">
        <f>+$B$6*11</f>
        <v>1160645416.3700001</v>
      </c>
      <c r="C16" s="21">
        <v>0</v>
      </c>
      <c r="D16" s="20">
        <f t="shared" si="0"/>
        <v>0.9166666666956258</v>
      </c>
      <c r="E16" s="179">
        <f t="shared" si="1"/>
        <v>0</v>
      </c>
    </row>
    <row r="17" spans="1:5" ht="13.5" thickBot="1" x14ac:dyDescent="0.25">
      <c r="A17" s="39" t="s">
        <v>17</v>
      </c>
      <c r="B17" s="220">
        <f>+$B$6*12-0.04</f>
        <v>1266158636</v>
      </c>
      <c r="C17" s="26">
        <v>0</v>
      </c>
      <c r="D17" s="27">
        <f t="shared" si="0"/>
        <v>1</v>
      </c>
      <c r="E17" s="188">
        <f t="shared" si="1"/>
        <v>0</v>
      </c>
    </row>
    <row r="18" spans="1:5" x14ac:dyDescent="0.2">
      <c r="B18" s="197"/>
    </row>
    <row r="19" spans="1:5" x14ac:dyDescent="0.2">
      <c r="B19" s="13"/>
      <c r="C19" s="219"/>
      <c r="D19" s="196"/>
    </row>
    <row r="20" spans="1:5" x14ac:dyDescent="0.2">
      <c r="B20" s="13"/>
      <c r="C20" s="219"/>
    </row>
    <row r="21" spans="1:5" x14ac:dyDescent="0.2">
      <c r="B21" s="13"/>
      <c r="C21" s="196"/>
      <c r="D21" s="197"/>
    </row>
    <row r="22" spans="1:5" x14ac:dyDescent="0.2">
      <c r="B22" s="13"/>
      <c r="D22" s="197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0866141732283472" right="0.70866141732283472" top="0.74803149606299213" bottom="0.74803149606299213" header="0.31496062992125984" footer="0.31496062992125984"/>
  <pageSetup paperSize="11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73" t="s">
        <v>33</v>
      </c>
      <c r="B4" s="274"/>
      <c r="C4" s="274"/>
      <c r="D4" s="274"/>
      <c r="E4" s="275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73" t="s">
        <v>34</v>
      </c>
      <c r="B5" s="274"/>
      <c r="C5" s="274"/>
      <c r="D5" s="274"/>
      <c r="E5" s="275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Ismarino Jose Martinez Agamez</cp:lastModifiedBy>
  <cp:lastPrinted>2023-10-25T13:25:18Z</cp:lastPrinted>
  <dcterms:created xsi:type="dcterms:W3CDTF">2015-09-23T21:56:21Z</dcterms:created>
  <dcterms:modified xsi:type="dcterms:W3CDTF">2024-06-12T21:46:12Z</dcterms:modified>
</cp:coreProperties>
</file>