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ldavis\Documents\PLANEACION 2023-2027\2024\PROYECTOS DE INVERSIÓN 2024\INFORME DE EJECUCION CONSEJO DIRECTIVO\"/>
    </mc:Choice>
  </mc:AlternateContent>
  <xr:revisionPtr revIDLastSave="0" documentId="13_ncr:1_{662104BC-9F32-4663-884C-44B33F04353F}" xr6:coauthVersionLast="36" xr6:coauthVersionMax="36" xr10:uidLastSave="{00000000-0000-0000-0000-000000000000}"/>
  <bookViews>
    <workbookView xWindow="0" yWindow="0" windowWidth="18225" windowHeight="11190" tabRatio="945" activeTab="12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4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6" l="1"/>
  <c r="E5" i="11" l="1"/>
  <c r="F4" i="9"/>
  <c r="B17" i="5"/>
  <c r="I8" i="11" l="1"/>
  <c r="B16" i="6" l="1"/>
  <c r="G7" i="1"/>
  <c r="E8" i="11" l="1"/>
  <c r="B18" i="10"/>
  <c r="F7" i="1" l="1"/>
  <c r="B15" i="5" l="1"/>
  <c r="F7" i="4" l="1"/>
  <c r="F6" i="4"/>
  <c r="F5" i="4"/>
  <c r="E5" i="1" l="1"/>
  <c r="C4" i="16" l="1"/>
  <c r="B7" i="5" l="1"/>
  <c r="B7" i="1" l="1"/>
  <c r="C7" i="1"/>
  <c r="D6" i="16"/>
  <c r="K6" i="11" l="1"/>
  <c r="L6" i="11"/>
  <c r="M6" i="11"/>
  <c r="K7" i="11"/>
  <c r="L7" i="11"/>
  <c r="M7" i="11"/>
  <c r="D6" i="6"/>
  <c r="B10" i="10"/>
  <c r="B17" i="10"/>
  <c r="B16" i="10"/>
  <c r="B15" i="10"/>
  <c r="B9" i="10"/>
  <c r="B8" i="10"/>
  <c r="B11" i="10"/>
  <c r="B12" i="10"/>
  <c r="B13" i="10"/>
  <c r="B14" i="5"/>
  <c r="F5" i="11"/>
  <c r="B12" i="5"/>
  <c r="B13" i="5"/>
  <c r="B16" i="5"/>
  <c r="L5" i="11" l="1"/>
  <c r="F8" i="11"/>
  <c r="M5" i="11"/>
  <c r="K5" i="11"/>
  <c r="B14" i="10"/>
  <c r="B10" i="5"/>
  <c r="B11" i="5"/>
  <c r="G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E10" i="15"/>
  <c r="D10" i="15"/>
  <c r="F9" i="15"/>
  <c r="F7" i="15"/>
  <c r="F8" i="15"/>
  <c r="K7" i="4" l="1"/>
  <c r="M7" i="4"/>
  <c r="L7" i="4"/>
  <c r="L6" i="4"/>
  <c r="K6" i="4"/>
  <c r="M6" i="4"/>
  <c r="L5" i="4"/>
  <c r="M5" i="4"/>
  <c r="K5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E4" i="11"/>
  <c r="G9" i="4" l="1"/>
  <c r="G11" i="4" l="1"/>
  <c r="K10" i="4" l="1"/>
  <c r="L10" i="4"/>
  <c r="M10" i="4"/>
  <c r="F9" i="4" l="1"/>
  <c r="K9" i="4" s="1"/>
  <c r="F11" i="4" l="1"/>
  <c r="I9" i="15"/>
  <c r="C4" i="9"/>
  <c r="C9" i="4"/>
  <c r="K11" i="4" l="1"/>
  <c r="I10" i="15"/>
  <c r="C11" i="4"/>
  <c r="H8" i="11" l="1"/>
  <c r="E16" i="10" l="1"/>
  <c r="D8" i="11"/>
  <c r="K8" i="11" s="1"/>
  <c r="L8" i="11" l="1"/>
  <c r="M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H7" i="1"/>
  <c r="L7" i="1" s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ADMINFOTEP</author>
    <author>PRESUPUESTO</author>
    <author>CONTABILIDAD</author>
  </authors>
  <commentList>
    <comment ref="H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ADMINFOTEP:</t>
        </r>
        <r>
          <rPr>
            <sz val="9"/>
            <color indexed="81"/>
            <rFont val="Tahoma"/>
            <family val="2"/>
          </rPr>
          <t xml:space="preserve">
VTAS DE SERVICIOS $858.681.425.
PAGOS DE INVERSIÓN: $719.302.694.
RESERVAS DE INVERSIÓN: $210.415.312.
</t>
        </r>
      </text>
    </comment>
    <comment ref="F8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2" shapeId="0" xr:uid="{00000000-0006-0000-0000-000003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<sst xmlns="http://schemas.openxmlformats.org/spreadsheetml/2006/main" count="283" uniqueCount="131">
  <si>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</si>
  <si>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</si>
  <si>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</si>
  <si>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</si>
  <si>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</si>
  <si>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</si>
  <si>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</si>
  <si>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</si>
  <si>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</si>
  <si>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</si>
  <si>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</si>
  <si>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</si>
  <si>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</si>
  <si>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</si>
  <si>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</si>
  <si>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</si>
  <si>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</si>
  <si>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</si>
  <si>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</si>
  <si>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</si>
  <si>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</si>
  <si>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</si>
  <si>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</si>
  <si>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</si>
  <si>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</si>
  <si>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</si>
  <si>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</si>
  <si>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</si>
  <si>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</si>
  <si>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</si>
  <si>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</si>
  <si>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</si>
  <si>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</si>
  <si>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</si>
  <si>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</si>
  <si>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</si>
  <si>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</si>
  <si>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</si>
  <si>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</si>
  <si>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</si>
  <si>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</si>
  <si>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</si>
  <si>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</si>
  <si>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</si>
  <si>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</si>
  <si>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</si>
  <si>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</si>
  <si>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</si>
  <si>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</si>
  <si>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</si>
  <si>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</si>
  <si>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</si>
  <si>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</si>
  <si>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</si>
  <si>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</si>
  <si>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</si>
  <si>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</si>
  <si>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</si>
  <si>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</si>
  <si>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</si>
  <si>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</si>
  <si>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</si>
  <si>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</si>
  <si>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</si>
  <si>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</si>
  <si>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</si>
  <si>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</si>
  <si>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</si>
  <si>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</si>
  <si>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</si>
  <si>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</si>
  <si>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</si>
  <si>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</si>
  <si>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</si>
  <si>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</si>
  <si>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</si>
  <si>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</si>
  <si>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</si>
  <si>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</si>
  <si>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</si>
  <si>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</si>
  <si>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</si>
  <si>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</si>
  <si>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</si>
  <si>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</si>
  <si>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</si>
  <si>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</si>
  <si>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</si>
  <si>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</si>
  <si>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</si>
  <si>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</si>
  <si>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</si>
  <si>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</si>
  <si>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</si>
  <si>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</si>
  <si>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</si>
  <si>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</si>
  <si>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</si>
  <si>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</si>
  <si>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</si>
  <si>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</si>
  <si>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</si>
  <si>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</si>
  <si>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</si>
  <si>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</si>
  <si>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</si>
  <si>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</si>
  <si>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</si>
  <si>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</si>
  <si>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</si>
  <si>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</si>
  <si>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</si>
  <si>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</si>
  <si>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</si>
  <si>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</si>
  <si>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</si>
  <si>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</si>
  <si>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</si>
  <si>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 xml:space="preserve">Presupuesto Definitivo 2023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</si>
  <si>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2023
(3)</t>
    </r>
  </si>
  <si>
    <t>ADICIÓN SEG RESOLUCION(MINEDUCACIÓN) Y ACUERDOS</t>
  </si>
  <si>
    <t>ADICIÓN</t>
  </si>
  <si>
    <t>REDUCIÓN</t>
  </si>
  <si>
    <t>EJECUCIÓN PRESUPUESTAL DE INGRESOS RECURSO PROPIOS
ENERO 2024 - DICIEMBRE 31   2024.</t>
  </si>
  <si>
    <t>2. SEGURIDAD HUMANA Y JUSTICIA SOCIAL / K. EDUCACIÓN SUPERIOR COMO UN DERECHO</t>
  </si>
  <si>
    <t>C-2202-0700-8 20203K</t>
  </si>
  <si>
    <t>CON CORTE DICIEMBRE 31  DE 2024</t>
  </si>
  <si>
    <t>EJECUCIÓN PRESUPUESTAL 
GASTOS DE PERSONAL 
CON CORTE DICIEMBRE 31  DE 2024</t>
  </si>
  <si>
    <t>EJECUCIÓN PRESUPUESTAL
ADQUISICIÓN BIENES Y SERVICIOS
CON CORTE DICIEMBRE 31  DE 2024</t>
  </si>
  <si>
    <t>Ejecución Presupuestal - Proyectos de Inversión
CON CORTE DICIEMBRE 31  DE 2024</t>
  </si>
  <si>
    <t>EJECUCIÓN PRESUPUESTAL 
PROYECTOS DE INVERSIÓN
CON CORTE DICIEMBRE 31 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</si>
</sst>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9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164" fontId="13" fillId="0" borderId="47" xfId="9" applyNumberFormat="1" applyFont="1" applyBorder="1"/>
    <xf numFmtId="0" fontId="0" fillId="0" borderId="0" xfId="0" applyBorder="1"/>
    <xf numFmtId="9" fontId="0" fillId="0" borderId="0" xfId="1" applyFont="1"/>
    <xf numFmtId="44" fontId="0" fillId="0" borderId="0" xfId="12" applyFont="1"/>
    <xf numFmtId="44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5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3" fontId="0" fillId="0" borderId="43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0" fillId="7" borderId="0" xfId="0" applyFill="1"/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7000000}"/>
    <cellStyle name="Normal 2 2" xfId="7" xr:uid="{00000000-0005-0000-0000-000008000000}"/>
    <cellStyle name="Normal 2 3" xfId="8" xr:uid="{00000000-0005-0000-0000-000009000000}"/>
    <cellStyle name="Normal 3" xfId="6" xr:uid="{00000000-0005-0000-0000-00000A000000}"/>
    <cellStyle name="Porcentaje" xfId="1" builtinId="5"/>
    <cellStyle name="Porcentaje 2" xfId="4" xr:uid="{00000000-0005-0000-0000-00000C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#,##0_);_("$"\ * \(#,##0\);_("$"\ * "-"_);_(@_)</c:formatCode>
                <c:ptCount val="2"/>
                <c:pt idx="0">
                  <c:v>1541558544</c:v>
                </c:pt>
                <c:pt idx="1">
                  <c:v>9655582206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9.7371423714088814E-2</c:v>
                </c:pt>
                <c:pt idx="1">
                  <c:v>0.9026285762859112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DICIEMBRE 31 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8.333333335180515E-2</c:v>
                </c:pt>
                <c:pt idx="1">
                  <c:v>0.1666666667036103</c:v>
                </c:pt>
                <c:pt idx="2">
                  <c:v>0.25000000005541545</c:v>
                </c:pt>
                <c:pt idx="3">
                  <c:v>0.3333333334072206</c:v>
                </c:pt>
                <c:pt idx="4">
                  <c:v>0.41666666675902575</c:v>
                </c:pt>
                <c:pt idx="5">
                  <c:v>0.5000000001108309</c:v>
                </c:pt>
                <c:pt idx="6">
                  <c:v>0.58333333346263605</c:v>
                </c:pt>
                <c:pt idx="7">
                  <c:v>0.6666666668144412</c:v>
                </c:pt>
                <c:pt idx="8">
                  <c:v>0.75000000016624635</c:v>
                </c:pt>
                <c:pt idx="9">
                  <c:v>0.8333333335180515</c:v>
                </c:pt>
                <c:pt idx="10">
                  <c:v>0.91666666686985665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6.3121804583801937E-3</c:v>
                </c:pt>
                <c:pt idx="1">
                  <c:v>2.1850912392403037E-2</c:v>
                </c:pt>
                <c:pt idx="2">
                  <c:v>5.2537141686741451E-2</c:v>
                </c:pt>
                <c:pt idx="3">
                  <c:v>0.10522534269497283</c:v>
                </c:pt>
                <c:pt idx="4">
                  <c:v>0.15768531005433425</c:v>
                </c:pt>
                <c:pt idx="5">
                  <c:v>0.21104065234481162</c:v>
                </c:pt>
                <c:pt idx="6">
                  <c:v>0.27130059546104557</c:v>
                </c:pt>
                <c:pt idx="7">
                  <c:v>0.304249341695014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DICIEMBRE 31 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390986023</c:v>
                </c:pt>
                <c:pt idx="1">
                  <c:v>781972046</c:v>
                </c:pt>
                <c:pt idx="2">
                  <c:v>1172958069</c:v>
                </c:pt>
                <c:pt idx="3">
                  <c:v>1563944092</c:v>
                </c:pt>
                <c:pt idx="4">
                  <c:v>1954930115</c:v>
                </c:pt>
                <c:pt idx="5">
                  <c:v>2345916138</c:v>
                </c:pt>
                <c:pt idx="6">
                  <c:v>2736902161</c:v>
                </c:pt>
                <c:pt idx="7">
                  <c:v>3127888184</c:v>
                </c:pt>
                <c:pt idx="8">
                  <c:v>3518874207</c:v>
                </c:pt>
                <c:pt idx="9">
                  <c:v>3909860230</c:v>
                </c:pt>
                <c:pt idx="10">
                  <c:v>4300846253</c:v>
                </c:pt>
                <c:pt idx="11">
                  <c:v>4691832274.96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29615692</c:v>
                </c:pt>
                <c:pt idx="1">
                  <c:v>102520816</c:v>
                </c:pt>
                <c:pt idx="2">
                  <c:v>246495457</c:v>
                </c:pt>
                <c:pt idx="3">
                  <c:v>493699659</c:v>
                </c:pt>
                <c:pt idx="4">
                  <c:v>739833027</c:v>
                </c:pt>
                <c:pt idx="5">
                  <c:v>990167344</c:v>
                </c:pt>
                <c:pt idx="6">
                  <c:v>1272896890</c:v>
                </c:pt>
                <c:pt idx="7">
                  <c:v>1427486881</c:v>
                </c:pt>
                <c:pt idx="8">
                  <c:v>1760813824</c:v>
                </c:pt>
                <c:pt idx="9">
                  <c:v>1993796267</c:v>
                </c:pt>
                <c:pt idx="10">
                  <c:v>3502473029</c:v>
                </c:pt>
                <c:pt idx="11">
                  <c:v>3674941836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DICIEMBRE 31  DE 2024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4138232398</c:v>
                </c:pt>
                <c:pt idx="1">
                  <c:v>6274389477</c:v>
                </c:pt>
                <c:pt idx="2">
                  <c:v>3512279981</c:v>
                </c:pt>
                <c:pt idx="3" formatCode="0.00%">
                  <c:v>0.55978035693750738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DICIEMBRE 31  DE 2024</a:t>
            </a:r>
          </a:p>
        </c:rich>
      </c:tx>
      <c:layout>
        <c:manualLayout>
          <c:xMode val="edge"/>
          <c:yMode val="edge"/>
          <c:x val="0.36763071895424837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0.41666666666666669</c:v>
                </c:pt>
                <c:pt idx="5">
                  <c:v>0.5</c:v>
                </c:pt>
                <c:pt idx="6">
                  <c:v>0.58333333333333337</c:v>
                </c:pt>
                <c:pt idx="7">
                  <c:v>0.66666666666666663</c:v>
                </c:pt>
                <c:pt idx="8">
                  <c:v>0.75</c:v>
                </c:pt>
                <c:pt idx="9">
                  <c:v>0.83333333333333337</c:v>
                </c:pt>
                <c:pt idx="10">
                  <c:v>0.91666666666666663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8.7689660126103616E-2</c:v>
                </c:pt>
                <c:pt idx="8">
                  <c:v>0.15343386636559259</c:v>
                </c:pt>
                <c:pt idx="9">
                  <c:v>0.25602014795549477</c:v>
                </c:pt>
                <c:pt idx="10">
                  <c:v>0.31093177546893375</c:v>
                </c:pt>
                <c:pt idx="11">
                  <c:v>0.55978035666985726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layout>
        <c:manualLayout>
          <c:xMode val="edge"/>
          <c:yMode val="edge"/>
          <c:x val="0.38719100448284927"/>
          <c:y val="2.10109135427561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14-17'!$D$4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14-17'!$D$5:$D$7</c:f>
              <c:numCache>
                <c:formatCode>#,##0</c:formatCode>
                <c:ptCount val="1"/>
                <c:pt idx="0">
                  <c:v>4138232398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14-17'!$G$4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5465821029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14-17'!$H$4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3512279981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14-17'!$I$4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#,##0</c:formatCode>
                <c:ptCount val="1"/>
                <c:pt idx="0">
                  <c:v>3496019981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NOVIEMBRE 30  DE 2024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14-17'!$J$4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14-17'!$K$4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0.87113193228377583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14-17'!$L$4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0.55978035693750738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14-17'!$M$4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14-17'!$M$5:$M$7</c:f>
              <c:numCache>
                <c:formatCode>0.0%</c:formatCode>
                <c:ptCount val="1"/>
                <c:pt idx="0">
                  <c:v>0.55718886974029014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#,##0_);_("$"\ * \(#,##0\);_("$"\ * "-"_);_(@_)</c:formatCode>
                <c:ptCount val="2"/>
                <c:pt idx="0">
                  <c:v>287455885</c:v>
                </c:pt>
                <c:pt idx="1">
                  <c:v>9781554912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2.5672257893159019E-2</c:v>
                </c:pt>
                <c:pt idx="1">
                  <c:v>0.87357613254973154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#,##0_-;\-* #,##0_-;_-*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Presupuesto Definitivo 2023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#,##0.00_);_(* \(#,##0.00\);_(* "-"??_);_(@_)</c:formatCode>
                <c:ptCount val="4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  <c:pt idx="3">
                  <c:v>1541558544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Recaudos Acumulados (PERIODO) 2023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,##0.00_);_(* \(#,##0.00\);_(* &quot;-&quot;??_);_(@_)">
                  <c:v>287455885</c:v>
                </c:pt>
                <c:pt idx="1">
                  <c:v>0</c:v>
                </c:pt>
                <c:pt idx="2">
                  <c:v>0</c:v>
                </c:pt>
                <c:pt idx="3">
                  <c:v>287455885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0.21992802648635437</c:v>
                </c:pt>
                <c:pt idx="1">
                  <c:v>0</c:v>
                </c:pt>
                <c:pt idx="2">
                  <c:v>0</c:v>
                </c:pt>
                <c:pt idx="3" formatCode="0.00%">
                  <c:v>0.18647094923434837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2023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#,##0.00_);_(* \(#,##0.00\);_(* "-"??_);_(@_)</c:formatCode>
                <c:ptCount val="3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2023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,##0.00_);_(* \(#,##0.00\);_(* &quot;-&quot;??_);_(@_)">
                  <c:v>287455885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0.21992802648635437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DICIEMBRE 31  DE 2024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7058908352</c:v>
                </c:pt>
                <c:pt idx="1">
                  <c:v>4445456603</c:v>
                </c:pt>
                <c:pt idx="2">
                  <c:v>1947019770</c:v>
                </c:pt>
                <c:pt idx="3">
                  <c:v>9557345185</c:v>
                </c:pt>
                <c:pt idx="4">
                  <c:v>8325325773</c:v>
                </c:pt>
                <c:pt idx="5">
                  <c:v>7411574449</c:v>
                </c:pt>
                <c:pt idx="6">
                  <c:v>7411574449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4138232398</c:v>
                </c:pt>
                <c:pt idx="1">
                  <c:v>6274389477</c:v>
                </c:pt>
                <c:pt idx="2">
                  <c:v>4138232398</c:v>
                </c:pt>
                <c:pt idx="3">
                  <c:v>6274389477</c:v>
                </c:pt>
                <c:pt idx="4">
                  <c:v>5465821029</c:v>
                </c:pt>
                <c:pt idx="5">
                  <c:v>3512279981</c:v>
                </c:pt>
                <c:pt idx="6">
                  <c:v>3496019981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DICIEMBRE 31  DE 2024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3060729352</c:v>
                </c:pt>
                <c:pt idx="1">
                  <c:v>1366322667</c:v>
                </c:pt>
                <c:pt idx="2">
                  <c:v>399173860</c:v>
                </c:pt>
                <c:pt idx="3">
                  <c:v>4027878159</c:v>
                </c:pt>
                <c:pt idx="4">
                  <c:v>3544417178</c:v>
                </c:pt>
                <c:pt idx="5">
                  <c:v>3544417178</c:v>
                </c:pt>
                <c:pt idx="6">
                  <c:v>3544417178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1266158636</c:v>
                </c:pt>
                <c:pt idx="1">
                  <c:v>3427007481</c:v>
                </c:pt>
                <c:pt idx="2">
                  <c:v>0</c:v>
                </c:pt>
                <c:pt idx="3">
                  <c:v>4693166117</c:v>
                </c:pt>
                <c:pt idx="4">
                  <c:v>4588693161</c:v>
                </c:pt>
                <c:pt idx="5">
                  <c:v>3674941836</c:v>
                </c:pt>
                <c:pt idx="6">
                  <c:v>3674941836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2732020364</c:v>
                </c:pt>
                <c:pt idx="1">
                  <c:v>51300315</c:v>
                </c:pt>
                <c:pt idx="2">
                  <c:v>1947019770</c:v>
                </c:pt>
                <c:pt idx="3">
                  <c:v>836300909</c:v>
                </c:pt>
                <c:pt idx="4">
                  <c:v>192215435</c:v>
                </c:pt>
                <c:pt idx="5">
                  <c:v>192215435</c:v>
                </c:pt>
                <c:pt idx="6">
                  <c:v>192215435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4138232398</c:v>
                </c:pt>
                <c:pt idx="1">
                  <c:v>6274389477</c:v>
                </c:pt>
                <c:pt idx="2">
                  <c:v>4138232398</c:v>
                </c:pt>
                <c:pt idx="3">
                  <c:v>6274389477</c:v>
                </c:pt>
                <c:pt idx="4">
                  <c:v>5465821029</c:v>
                </c:pt>
                <c:pt idx="5">
                  <c:v>3512279981</c:v>
                </c:pt>
                <c:pt idx="6">
                  <c:v>3496019981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DICIEMBRE 31  DE 2024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8.3333333270438348E-2</c:v>
                </c:pt>
                <c:pt idx="1">
                  <c:v>0.1666666665408767</c:v>
                </c:pt>
                <c:pt idx="2">
                  <c:v>0.24999999981131504</c:v>
                </c:pt>
                <c:pt idx="3">
                  <c:v>0.33333333308175339</c:v>
                </c:pt>
                <c:pt idx="4">
                  <c:v>0.41666666635219174</c:v>
                </c:pt>
                <c:pt idx="5">
                  <c:v>0.49999999962263009</c:v>
                </c:pt>
                <c:pt idx="6">
                  <c:v>0.58333333289306843</c:v>
                </c:pt>
                <c:pt idx="7">
                  <c:v>0.66666666616350678</c:v>
                </c:pt>
                <c:pt idx="8">
                  <c:v>0.74999999943394513</c:v>
                </c:pt>
                <c:pt idx="9">
                  <c:v>0.83333333270438348</c:v>
                </c:pt>
                <c:pt idx="10">
                  <c:v>0.91666666597482183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4.9695347797637339E-2</c:v>
                </c:pt>
                <c:pt idx="1">
                  <c:v>0.100423730566966</c:v>
                </c:pt>
                <c:pt idx="2">
                  <c:v>0.14625643198214472</c:v>
                </c:pt>
                <c:pt idx="3">
                  <c:v>0.25247310614836826</c:v>
                </c:pt>
                <c:pt idx="4">
                  <c:v>0.32995968088487593</c:v>
                </c:pt>
                <c:pt idx="5">
                  <c:v>0.41463395963249511</c:v>
                </c:pt>
                <c:pt idx="6">
                  <c:v>0.48395047318526446</c:v>
                </c:pt>
                <c:pt idx="7">
                  <c:v>0.5455233165552611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DICIEMBRE 31 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#,##0_-;\-* #,##0_-;_-* "-"??_-;_-@_-</c:formatCode>
                <c:ptCount val="12"/>
                <c:pt idx="0">
                  <c:v>335656513</c:v>
                </c:pt>
                <c:pt idx="1">
                  <c:v>671313026</c:v>
                </c:pt>
                <c:pt idx="2">
                  <c:v>1006969539</c:v>
                </c:pt>
                <c:pt idx="3">
                  <c:v>1342626052</c:v>
                </c:pt>
                <c:pt idx="4">
                  <c:v>1678282565</c:v>
                </c:pt>
                <c:pt idx="5">
                  <c:v>2013939078</c:v>
                </c:pt>
                <c:pt idx="6">
                  <c:v>2349595591</c:v>
                </c:pt>
                <c:pt idx="7">
                  <c:v>2685252104</c:v>
                </c:pt>
                <c:pt idx="8">
                  <c:v>3020908617</c:v>
                </c:pt>
                <c:pt idx="9">
                  <c:v>3356565130</c:v>
                </c:pt>
                <c:pt idx="10">
                  <c:v>3692221643</c:v>
                </c:pt>
                <c:pt idx="11">
                  <c:v>4027878159.04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#,##0_-;\-* #,##0_-;_-* "-"??_-;_-@_-</c:formatCode>
                <c:ptCount val="12"/>
                <c:pt idx="0">
                  <c:v>200166806</c:v>
                </c:pt>
                <c:pt idx="1">
                  <c:v>404494551</c:v>
                </c:pt>
                <c:pt idx="2">
                  <c:v>589103088</c:v>
                </c:pt>
                <c:pt idx="3">
                  <c:v>1016930910</c:v>
                </c:pt>
                <c:pt idx="4">
                  <c:v>1329037392</c:v>
                </c:pt>
                <c:pt idx="5">
                  <c:v>1670095070</c:v>
                </c:pt>
                <c:pt idx="6">
                  <c:v>1949293541</c:v>
                </c:pt>
                <c:pt idx="7">
                  <c:v>2197301452</c:v>
                </c:pt>
                <c:pt idx="8">
                  <c:v>2562395318</c:v>
                </c:pt>
                <c:pt idx="9">
                  <c:v>2859158129</c:v>
                </c:pt>
                <c:pt idx="10">
                  <c:v>3327198591</c:v>
                </c:pt>
                <c:pt idx="11">
                  <c:v>3544417178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30314</xdr:colOff>
      <xdr:row>8</xdr:row>
      <xdr:rowOff>143209</xdr:rowOff>
    </xdr:from>
    <xdr:to>
      <xdr:col>12</xdr:col>
      <xdr:colOff>692052</xdr:colOff>
      <xdr:row>42</xdr:row>
      <xdr:rowOff>128923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246031</xdr:colOff>
      <xdr:row>8</xdr:row>
      <xdr:rowOff>129664</xdr:rowOff>
    </xdr:from>
    <xdr:to>
      <xdr:col>30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327742</xdr:colOff>
      <xdr:row>13</xdr:row>
      <xdr:rowOff>24733</xdr:rowOff>
    </xdr:from>
    <xdr:to>
      <xdr:col>12</xdr:col>
      <xdr:colOff>441120</xdr:colOff>
      <xdr:row>41</xdr:row>
      <xdr:rowOff>155267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4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H8" sqref="H8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3" t="s">
        <v>101</v>
      </c>
      <c r="C3" s="254"/>
      <c r="D3" s="254"/>
      <c r="E3" s="254"/>
      <c r="F3" s="254"/>
      <c r="G3" s="254"/>
      <c r="H3" s="254"/>
      <c r="I3" s="255"/>
    </row>
    <row r="4" spans="2:14" ht="13.5" customHeight="1" thickBot="1" x14ac:dyDescent="0.25">
      <c r="B4" s="250" t="s">
        <v>126</v>
      </c>
      <c r="C4" s="251"/>
      <c r="D4" s="251"/>
      <c r="E4" s="251"/>
      <c r="F4" s="251"/>
      <c r="G4" s="251"/>
      <c r="H4" s="251"/>
      <c r="I4" s="252"/>
    </row>
    <row r="5" spans="2:14" ht="13.5" thickBot="1" x14ac:dyDescent="0.25"/>
    <row r="6" spans="2:14" ht="51.75" thickBot="1" x14ac:dyDescent="0.25">
      <c r="B6" s="138" t="s">
        <v>90</v>
      </c>
      <c r="C6" s="207" t="s">
        <v>115</v>
      </c>
      <c r="D6" s="221" t="s">
        <v>120</v>
      </c>
      <c r="E6" s="221" t="s">
        <v>117</v>
      </c>
      <c r="F6" s="208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1541558544</v>
      </c>
      <c r="D7" s="222">
        <v>0</v>
      </c>
      <c r="E7" s="223">
        <v>0</v>
      </c>
      <c r="F7" s="142">
        <f>C7+D7-E7</f>
        <v>1541558544</v>
      </c>
      <c r="G7" s="31">
        <f>F7/F10</f>
        <v>9.7371423714088814E-2</v>
      </c>
      <c r="H7" s="234">
        <v>287455885</v>
      </c>
      <c r="I7" s="177">
        <f>H7/F10</f>
        <v>1.8156941808266078E-2</v>
      </c>
      <c r="K7" s="163"/>
      <c r="M7" s="154"/>
    </row>
    <row r="8" spans="2:14" ht="13.5" customHeight="1" thickBot="1" x14ac:dyDescent="0.25">
      <c r="B8" s="137" t="s">
        <v>105</v>
      </c>
      <c r="C8" s="143">
        <v>9655582206</v>
      </c>
      <c r="D8" s="203">
        <v>10287174343</v>
      </c>
      <c r="E8" s="223">
        <v>5652580430</v>
      </c>
      <c r="F8" s="142">
        <f>C8+D8-E8</f>
        <v>14290176119</v>
      </c>
      <c r="G8" s="31">
        <f>F8/F10</f>
        <v>0.9026285762859112</v>
      </c>
      <c r="H8" s="189">
        <v>9781554912</v>
      </c>
      <c r="I8" s="179">
        <f>H8/F10</f>
        <v>0.61784479845157192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4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1">
        <f>+C7+C8+C9</f>
        <v>11197140750</v>
      </c>
      <c r="D10" s="201">
        <f>SUM(D7:D9)</f>
        <v>10287174343</v>
      </c>
      <c r="E10" s="225">
        <f>SUM(E7:E9)</f>
        <v>5652580430</v>
      </c>
      <c r="F10" s="201">
        <f>+F7+F8+F9</f>
        <v>15831734663</v>
      </c>
      <c r="G10" s="149">
        <f>SUM(G7:G9)</f>
        <v>1</v>
      </c>
      <c r="H10" s="148">
        <f>SUM(H7:H9)</f>
        <v>10069010797</v>
      </c>
      <c r="I10" s="178">
        <f>SUM(I7:I9)</f>
        <v>0.63600174025983802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2"/>
      <c r="E32" s="202"/>
      <c r="F32" s="202"/>
      <c r="G32" s="141" t="s">
        <v>96</v>
      </c>
    </row>
    <row r="33" spans="2:15" x14ac:dyDescent="0.2">
      <c r="B33" s="136" t="s">
        <v>92</v>
      </c>
      <c r="C33" s="142">
        <f>+H7</f>
        <v>287455885</v>
      </c>
      <c r="D33" s="203"/>
      <c r="E33" s="203"/>
      <c r="F33" s="203"/>
      <c r="G33" s="177">
        <f>C33/C10</f>
        <v>2.5672257893159019E-2</v>
      </c>
    </row>
    <row r="34" spans="2:15" ht="13.5" thickBot="1" x14ac:dyDescent="0.25">
      <c r="B34" s="137" t="s">
        <v>93</v>
      </c>
      <c r="C34" s="142">
        <f>+H8</f>
        <v>9781554912</v>
      </c>
      <c r="D34" s="203"/>
      <c r="E34" s="203"/>
      <c r="F34" s="203"/>
      <c r="G34" s="179">
        <f>C34/C10</f>
        <v>0.87357613254973154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4"/>
      <c r="E35" s="204"/>
      <c r="F35" s="204"/>
      <c r="G35" s="180">
        <f>C35/C10</f>
        <v>0</v>
      </c>
    </row>
    <row r="36" spans="2:15" ht="13.5" thickBot="1" x14ac:dyDescent="0.25">
      <c r="B36" s="147" t="s">
        <v>89</v>
      </c>
      <c r="C36" s="200">
        <f>SUM(C33:C35)</f>
        <v>10069010797</v>
      </c>
      <c r="D36" s="205"/>
      <c r="E36" s="205"/>
      <c r="F36" s="205"/>
      <c r="G36" s="206">
        <f>SUM(G33:G35)</f>
        <v>0.89924839044289051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E5" sqref="E5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79" t="s">
        <v>129</v>
      </c>
      <c r="C2" s="280"/>
      <c r="D2" s="280"/>
      <c r="E2" s="280"/>
      <c r="F2" s="281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4138232398</v>
      </c>
      <c r="D4" s="53">
        <v>6274389477</v>
      </c>
      <c r="E4" s="53">
        <v>3512279981</v>
      </c>
      <c r="F4" s="186">
        <f>E4/D4</f>
        <v>0.55978035693750738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C18" sqref="C18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6" t="s">
        <v>130</v>
      </c>
      <c r="B5" s="277"/>
      <c r="C5" s="277"/>
      <c r="D5" s="277"/>
      <c r="E5" s="278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522865790</v>
      </c>
      <c r="C7" s="47">
        <v>0</v>
      </c>
      <c r="D7" s="48">
        <f>+B7/$B$18</f>
        <v>8.3333333333333329E-2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1045731580</v>
      </c>
      <c r="C8" s="47">
        <v>0</v>
      </c>
      <c r="D8" s="48">
        <f>+B8/$B$18</f>
        <v>0.16666666666666666</v>
      </c>
      <c r="E8" s="187">
        <f t="shared" ref="D8:E18" si="0">+C8/$B$18</f>
        <v>0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1568597370</v>
      </c>
      <c r="C9" s="47">
        <v>0</v>
      </c>
      <c r="D9" s="48">
        <f t="shared" si="0"/>
        <v>0.25</v>
      </c>
      <c r="E9" s="187">
        <f t="shared" si="0"/>
        <v>0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2091463160</v>
      </c>
      <c r="C10" s="47">
        <v>0</v>
      </c>
      <c r="D10" s="48">
        <f t="shared" si="0"/>
        <v>0.33333333333333331</v>
      </c>
      <c r="E10" s="187">
        <f t="shared" si="0"/>
        <v>0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2614328950</v>
      </c>
      <c r="C11" s="47">
        <v>0</v>
      </c>
      <c r="D11" s="48">
        <f t="shared" si="0"/>
        <v>0.41666666666666669</v>
      </c>
      <c r="E11" s="187">
        <f t="shared" si="0"/>
        <v>0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3137194740</v>
      </c>
      <c r="C12" s="47">
        <v>0</v>
      </c>
      <c r="D12" s="48">
        <f t="shared" si="0"/>
        <v>0.5</v>
      </c>
      <c r="E12" s="187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3660060530</v>
      </c>
      <c r="C13" s="47">
        <v>0</v>
      </c>
      <c r="D13" s="48">
        <f t="shared" si="0"/>
        <v>0.58333333333333337</v>
      </c>
      <c r="E13" s="187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4182926320</v>
      </c>
      <c r="C14" s="47">
        <v>550199081</v>
      </c>
      <c r="D14" s="48">
        <f t="shared" si="0"/>
        <v>0.66666666666666663</v>
      </c>
      <c r="E14" s="187">
        <f t="shared" si="0"/>
        <v>8.7689660126103616E-2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4705792110</v>
      </c>
      <c r="C15" s="47">
        <v>962703837</v>
      </c>
      <c r="D15" s="48">
        <f>+B15/$B$18</f>
        <v>0.75</v>
      </c>
      <c r="E15" s="187">
        <f t="shared" si="0"/>
        <v>0.15343386636559259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5228657900</v>
      </c>
      <c r="C16" s="47">
        <v>1606370123</v>
      </c>
      <c r="D16" s="48">
        <f>+B16/$B$18</f>
        <v>0.83333333333333337</v>
      </c>
      <c r="E16" s="187">
        <f>+C16/$B$18</f>
        <v>0.25602014795549477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5751523690</v>
      </c>
      <c r="C17" s="47">
        <v>1950907061</v>
      </c>
      <c r="D17" s="48">
        <f>+B17/$B$18</f>
        <v>0.91666666666666663</v>
      </c>
      <c r="E17" s="187">
        <f t="shared" si="0"/>
        <v>0.31093177546893375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18">
        <f>+$B$7*12</f>
        <v>6274389480</v>
      </c>
      <c r="C18" s="219">
        <v>3512279981</v>
      </c>
      <c r="D18" s="56">
        <f>+B18/$B$18</f>
        <v>1</v>
      </c>
      <c r="E18" s="220">
        <f t="shared" si="0"/>
        <v>0.55978035666985726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14"/>
  <sheetViews>
    <sheetView tabSelected="1" zoomScale="95" zoomScaleNormal="95" workbookViewId="0">
      <selection activeCell="E8" sqref="E8"/>
    </sheetView>
  </sheetViews>
  <sheetFormatPr baseColWidth="10" defaultRowHeight="12.75" x14ac:dyDescent="0.2"/>
  <cols>
    <col min="1" max="1" width="5.140625" customWidth="1"/>
    <col min="2" max="2" width="23.85546875" customWidth="1"/>
    <col min="3" max="3" width="53.5703125" customWidth="1"/>
    <col min="4" max="8" width="16.7109375" customWidth="1"/>
    <col min="9" max="9" width="15.28515625" customWidth="1"/>
    <col min="10" max="13" width="11" customWidth="1"/>
  </cols>
  <sheetData>
    <row r="1" spans="2:13" ht="48" customHeight="1" x14ac:dyDescent="0.2"/>
    <row r="2" spans="2:13" ht="20.25" customHeight="1" x14ac:dyDescent="0.2">
      <c r="B2" s="249"/>
      <c r="C2" s="282" t="s">
        <v>42</v>
      </c>
      <c r="D2" s="282"/>
      <c r="E2" s="282"/>
      <c r="F2" s="282"/>
      <c r="G2" s="282"/>
      <c r="H2" s="282"/>
      <c r="I2" s="282"/>
      <c r="J2" s="282"/>
      <c r="K2" s="282"/>
      <c r="L2" s="282"/>
      <c r="M2" s="282"/>
    </row>
    <row r="3" spans="2:13" ht="26.25" customHeight="1" thickBot="1" x14ac:dyDescent="0.25">
      <c r="B3" s="249"/>
      <c r="C3" s="283" t="s">
        <v>126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</row>
    <row r="4" spans="2:13" ht="86.25" customHeight="1" thickBot="1" x14ac:dyDescent="0.25">
      <c r="B4" s="246" t="s">
        <v>110</v>
      </c>
      <c r="C4" s="247" t="s">
        <v>20</v>
      </c>
      <c r="D4" s="60" t="s">
        <v>113</v>
      </c>
      <c r="E4" s="60" t="str">
        <f>'EJECUCIÓN DE GASTOS'!D4</f>
        <v>ADICIÓN</v>
      </c>
      <c r="F4" s="60" t="s">
        <v>21</v>
      </c>
      <c r="G4" s="61" t="s">
        <v>22</v>
      </c>
      <c r="H4" s="61" t="s">
        <v>23</v>
      </c>
      <c r="I4" s="62" t="s">
        <v>24</v>
      </c>
      <c r="J4" s="63" t="s">
        <v>43</v>
      </c>
      <c r="K4" s="63" t="s">
        <v>28</v>
      </c>
      <c r="L4" s="63" t="s">
        <v>29</v>
      </c>
      <c r="M4" s="155" t="s">
        <v>30</v>
      </c>
    </row>
    <row r="5" spans="2:13" ht="55.5" customHeight="1" thickBot="1" x14ac:dyDescent="0.25">
      <c r="B5" s="243" t="s">
        <v>125</v>
      </c>
      <c r="C5" s="248" t="s">
        <v>124</v>
      </c>
      <c r="D5" s="150">
        <v>4138232398</v>
      </c>
      <c r="E5" s="150">
        <f>6274389477-D5</f>
        <v>2136157079</v>
      </c>
      <c r="F5" s="150">
        <f>D5+E5</f>
        <v>6274389477</v>
      </c>
      <c r="G5" s="40">
        <v>5465821029</v>
      </c>
      <c r="H5" s="40">
        <v>3512279981</v>
      </c>
      <c r="I5" s="40">
        <v>3496019981</v>
      </c>
      <c r="J5" s="156">
        <v>1</v>
      </c>
      <c r="K5" s="156">
        <f>G5/F5</f>
        <v>0.87113193228377583</v>
      </c>
      <c r="L5" s="157">
        <f>H5/F5</f>
        <v>0.55978035693750738</v>
      </c>
      <c r="M5" s="157">
        <f>I5/F5</f>
        <v>0.55718886974029014</v>
      </c>
    </row>
    <row r="6" spans="2:13" ht="55.5" hidden="1" customHeight="1" thickBot="1" x14ac:dyDescent="0.25">
      <c r="B6" s="191"/>
      <c r="C6" s="192"/>
      <c r="D6" s="150"/>
      <c r="E6" s="150"/>
      <c r="F6" s="150"/>
      <c r="G6" s="40"/>
      <c r="H6" s="40"/>
      <c r="I6" s="40"/>
      <c r="J6" s="156"/>
      <c r="K6" s="156" t="e">
        <f t="shared" ref="K6:K7" si="0">G6/F6</f>
        <v>#DIV/0!</v>
      </c>
      <c r="L6" s="157" t="e">
        <f t="shared" ref="L6:L7" si="1">H6/F6</f>
        <v>#DIV/0!</v>
      </c>
      <c r="M6" s="157" t="e">
        <f t="shared" ref="M6:M7" si="2">I6/F6</f>
        <v>#DIV/0!</v>
      </c>
    </row>
    <row r="7" spans="2:13" ht="55.5" hidden="1" customHeight="1" thickBot="1" x14ac:dyDescent="0.25">
      <c r="B7" s="191"/>
      <c r="C7" s="192"/>
      <c r="D7" s="150"/>
      <c r="E7" s="150"/>
      <c r="F7" s="150"/>
      <c r="G7" s="40"/>
      <c r="H7" s="40"/>
      <c r="I7" s="40"/>
      <c r="J7" s="156"/>
      <c r="K7" s="156" t="e">
        <f t="shared" si="0"/>
        <v>#DIV/0!</v>
      </c>
      <c r="L7" s="157" t="e">
        <f t="shared" si="1"/>
        <v>#DIV/0!</v>
      </c>
      <c r="M7" s="157" t="e">
        <f t="shared" si="2"/>
        <v>#DIV/0!</v>
      </c>
    </row>
    <row r="8" spans="2:13" ht="26.25" customHeight="1" thickBot="1" x14ac:dyDescent="0.25">
      <c r="C8" s="176"/>
      <c r="D8" s="150">
        <f>+SUM(D5:D7)</f>
        <v>4138232398</v>
      </c>
      <c r="E8" s="150">
        <f>SUM(E5)</f>
        <v>2136157079</v>
      </c>
      <c r="F8" s="150">
        <f>SUM(F5:F7)</f>
        <v>6274389477</v>
      </c>
      <c r="G8" s="150">
        <f>+SUM(G5:G7)</f>
        <v>5465821029</v>
      </c>
      <c r="H8" s="175">
        <f>+SUM(H5:H7)</f>
        <v>3512279981</v>
      </c>
      <c r="I8" s="175">
        <f>+SUM(I5:I7)</f>
        <v>3496019981</v>
      </c>
      <c r="J8" s="158">
        <v>1</v>
      </c>
      <c r="K8" s="156">
        <f>G8/F8</f>
        <v>0.87113193228377583</v>
      </c>
      <c r="L8" s="157">
        <f>H8/F8</f>
        <v>0.55978035693750738</v>
      </c>
      <c r="M8" s="157">
        <f>I8/F8</f>
        <v>0.55718886974029014</v>
      </c>
    </row>
    <row r="11" spans="2:13" x14ac:dyDescent="0.2">
      <c r="B11" s="45"/>
    </row>
    <row r="12" spans="2:13" x14ac:dyDescent="0.2">
      <c r="B12" s="154"/>
    </row>
    <row r="14" spans="2:13" x14ac:dyDescent="0.2">
      <c r="B14" s="45"/>
    </row>
  </sheetData>
  <mergeCells count="2">
    <mergeCell ref="C2:M2"/>
    <mergeCell ref="C3:M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5" t="s">
        <v>60</v>
      </c>
      <c r="B16" s="286"/>
      <c r="C16" s="286"/>
      <c r="D16" s="286"/>
      <c r="E16" s="286"/>
      <c r="F16" s="287"/>
    </row>
    <row r="17" spans="1:6" ht="25.5" customHeight="1" thickBot="1" x14ac:dyDescent="0.25">
      <c r="A17" s="288"/>
      <c r="B17" s="289"/>
      <c r="C17" s="289"/>
      <c r="D17" s="289"/>
      <c r="E17" s="289"/>
      <c r="F17" s="290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91" t="str">
        <f>+A16</f>
        <v>EJECUCIÓN PRESUPUESTAL
RESERVAS PRESUPUESTALES
A AGOSTO 31 DE 2015</v>
      </c>
      <c r="B31" s="292"/>
      <c r="C31" s="292"/>
      <c r="D31" s="292"/>
      <c r="E31" s="293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6" t="s">
        <v>88</v>
      </c>
      <c r="B2" s="257"/>
      <c r="C2" s="257"/>
      <c r="D2" s="257"/>
      <c r="E2" s="257"/>
      <c r="F2" s="257"/>
      <c r="G2" s="258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4" t="s">
        <v>65</v>
      </c>
      <c r="B19" s="295"/>
      <c r="C19" s="296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59" t="s">
        <v>65</v>
      </c>
      <c r="B28" s="297"/>
      <c r="C28" s="297"/>
      <c r="D28" s="260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workbookViewId="0">
      <selection activeCell="C14" sqref="C14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6" t="s">
        <v>123</v>
      </c>
      <c r="B2" s="257"/>
      <c r="C2" s="257"/>
      <c r="D2" s="258"/>
    </row>
    <row r="3" spans="1:6" s="113" customFormat="1" ht="39" thickBot="1" x14ac:dyDescent="0.25">
      <c r="A3" s="110" t="s">
        <v>106</v>
      </c>
      <c r="B3" s="111" t="s">
        <v>118</v>
      </c>
      <c r="C3" s="112" t="s">
        <v>119</v>
      </c>
      <c r="D3" s="111" t="s">
        <v>107</v>
      </c>
    </row>
    <row r="4" spans="1:6" ht="13.5" thickBot="1" x14ac:dyDescent="0.25">
      <c r="A4" s="114" t="s">
        <v>75</v>
      </c>
      <c r="B4" s="193">
        <v>1307045262</v>
      </c>
      <c r="C4" s="159">
        <f>'EJE INGRESOS'!H7</f>
        <v>287455885</v>
      </c>
      <c r="D4" s="160">
        <f>C4/B4</f>
        <v>0.21992802648635437</v>
      </c>
      <c r="E4" s="117"/>
      <c r="F4" s="170"/>
    </row>
    <row r="5" spans="1:6" ht="13.5" thickBot="1" x14ac:dyDescent="0.25">
      <c r="A5" s="114" t="s">
        <v>76</v>
      </c>
      <c r="B5" s="194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234513282</v>
      </c>
      <c r="C6" s="166">
        <v>0</v>
      </c>
      <c r="D6" s="160">
        <f t="shared" ref="D6" si="0">C6/B6</f>
        <v>0</v>
      </c>
      <c r="E6" s="113"/>
    </row>
    <row r="7" spans="1:6" ht="13.5" thickBot="1" x14ac:dyDescent="0.25">
      <c r="A7" s="167" t="s">
        <v>87</v>
      </c>
      <c r="B7" s="168">
        <f>SUM(B4:B6)</f>
        <v>1541558544</v>
      </c>
      <c r="C7" s="169">
        <f>SUM(C4:C6)</f>
        <v>287455885</v>
      </c>
      <c r="D7" s="184">
        <f>C7/B7</f>
        <v>0.18647094923434837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59" t="s">
        <v>108</v>
      </c>
      <c r="B10" s="260"/>
      <c r="C10" s="171"/>
    </row>
    <row r="11" spans="1:6" ht="12.75" customHeight="1" x14ac:dyDescent="0.2">
      <c r="A11" s="125" t="s">
        <v>66</v>
      </c>
      <c r="B11" s="161">
        <v>2024</v>
      </c>
      <c r="C11" s="172"/>
    </row>
    <row r="12" spans="1:6" x14ac:dyDescent="0.2">
      <c r="A12" s="99" t="s">
        <v>69</v>
      </c>
      <c r="B12" s="101">
        <f>B7</f>
        <v>1541558544</v>
      </c>
      <c r="C12" s="173"/>
    </row>
    <row r="13" spans="1:6" x14ac:dyDescent="0.2">
      <c r="A13" s="162" t="s">
        <v>109</v>
      </c>
      <c r="B13" s="101">
        <f>C7</f>
        <v>287455885</v>
      </c>
      <c r="C13" s="173"/>
    </row>
    <row r="14" spans="1:6" ht="13.5" thickBot="1" x14ac:dyDescent="0.25">
      <c r="A14" s="102" t="s">
        <v>71</v>
      </c>
      <c r="B14" s="185">
        <f>+B13/B12</f>
        <v>0.18647094923434837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workbookViewId="0">
      <selection activeCell="F7" sqref="F7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61" t="s">
        <v>104</v>
      </c>
      <c r="B2" s="262"/>
      <c r="C2" s="262"/>
      <c r="D2" s="262"/>
      <c r="E2" s="262"/>
      <c r="F2" s="262"/>
      <c r="G2" s="262"/>
      <c r="H2" s="263"/>
      <c r="I2" s="14"/>
      <c r="J2" s="264" t="s">
        <v>102</v>
      </c>
      <c r="K2" s="264"/>
      <c r="L2" s="264"/>
    </row>
    <row r="3" spans="1:16" ht="13.5" customHeight="1" thickBot="1" x14ac:dyDescent="0.25">
      <c r="A3" s="250" t="s">
        <v>126</v>
      </c>
      <c r="B3" s="251"/>
      <c r="C3" s="251"/>
      <c r="D3" s="251"/>
      <c r="E3" s="251"/>
      <c r="F3" s="251"/>
      <c r="G3" s="251"/>
      <c r="H3" s="252"/>
      <c r="I3" s="14"/>
      <c r="J3" s="265"/>
      <c r="K3" s="265"/>
      <c r="L3" s="265"/>
    </row>
    <row r="4" spans="1:16" ht="93.75" customHeight="1" thickBot="1" x14ac:dyDescent="0.25">
      <c r="A4" s="1" t="s">
        <v>20</v>
      </c>
      <c r="B4" s="2" t="s">
        <v>113</v>
      </c>
      <c r="C4" s="213" t="s">
        <v>121</v>
      </c>
      <c r="D4" s="244" t="s">
        <v>122</v>
      </c>
      <c r="E4" s="229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6"/>
    </row>
    <row r="5" spans="1:16" ht="15" customHeight="1" thickBot="1" x14ac:dyDescent="0.25">
      <c r="A5" s="4" t="s">
        <v>25</v>
      </c>
      <c r="B5" s="5">
        <v>7058908352</v>
      </c>
      <c r="C5" s="5">
        <v>4445456603</v>
      </c>
      <c r="D5" s="5">
        <v>1947019770</v>
      </c>
      <c r="E5" s="231">
        <f>B5+C5-D5</f>
        <v>9557345185</v>
      </c>
      <c r="F5" s="5">
        <v>8325325773</v>
      </c>
      <c r="G5" s="5">
        <v>7411574449</v>
      </c>
      <c r="H5" s="5">
        <v>7411574449</v>
      </c>
      <c r="J5" s="209">
        <f>F5/E5</f>
        <v>0.87109187874331229</v>
      </c>
      <c r="K5" s="210">
        <f>G5/E5</f>
        <v>0.77548464615804291</v>
      </c>
      <c r="L5" s="211">
        <f>H5/E5</f>
        <v>0.77548464615804291</v>
      </c>
      <c r="M5" s="45"/>
      <c r="N5" s="240"/>
      <c r="O5" s="241"/>
      <c r="P5" s="241"/>
    </row>
    <row r="6" spans="1:16" ht="13.5" thickBot="1" x14ac:dyDescent="0.25">
      <c r="A6" s="6" t="s">
        <v>27</v>
      </c>
      <c r="B6" s="7">
        <v>4138232398</v>
      </c>
      <c r="C6" s="7">
        <v>6274389477</v>
      </c>
      <c r="D6" s="7">
        <v>4138232398</v>
      </c>
      <c r="E6" s="231">
        <f>B6+C6-D6</f>
        <v>6274389477</v>
      </c>
      <c r="F6" s="7">
        <v>5465821029</v>
      </c>
      <c r="G6" s="228">
        <v>3512279981</v>
      </c>
      <c r="H6" s="7">
        <v>3496019981</v>
      </c>
      <c r="J6" s="209">
        <f>F6/E6</f>
        <v>0.87113193228377583</v>
      </c>
      <c r="K6" s="210">
        <f>G6/E6</f>
        <v>0.55978035693750738</v>
      </c>
      <c r="L6" s="211">
        <f>H6/E6</f>
        <v>0.55718886974029014</v>
      </c>
      <c r="M6" s="45"/>
      <c r="N6" s="235"/>
      <c r="O6" s="241"/>
      <c r="P6" s="235"/>
    </row>
    <row r="7" spans="1:16" ht="13.5" thickBot="1" x14ac:dyDescent="0.25">
      <c r="A7" s="8" t="s">
        <v>89</v>
      </c>
      <c r="B7" s="198">
        <f>+SUM(B5:B6)</f>
        <v>11197140750</v>
      </c>
      <c r="C7" s="198">
        <f>+SUM(C5:C6)</f>
        <v>10719846080</v>
      </c>
      <c r="D7" s="226">
        <f>D5+D6</f>
        <v>6085252168</v>
      </c>
      <c r="E7" s="245">
        <f>SUM(E5:E6)</f>
        <v>15831734662</v>
      </c>
      <c r="F7" s="199">
        <f>+SUM(F5:F6)</f>
        <v>13791146802</v>
      </c>
      <c r="G7" s="199">
        <f>+SUM(G5:G6)</f>
        <v>10923854430</v>
      </c>
      <c r="H7" s="9">
        <f>+SUM(H5:H6)</f>
        <v>10907594430</v>
      </c>
      <c r="J7" s="181">
        <f>F7/E7</f>
        <v>0.87110775265215212</v>
      </c>
      <c r="K7" s="182">
        <f>G7/B7</f>
        <v>0.97559320489920609</v>
      </c>
      <c r="L7" s="183">
        <f>H7/E7</f>
        <v>0.68897026528500827</v>
      </c>
      <c r="M7" s="45"/>
      <c r="N7" s="235"/>
      <c r="O7" s="241"/>
      <c r="P7" s="235"/>
    </row>
    <row r="8" spans="1:16" x14ac:dyDescent="0.2">
      <c r="N8" s="235"/>
      <c r="O8" s="241"/>
      <c r="P8" s="235"/>
    </row>
    <row r="9" spans="1:16" x14ac:dyDescent="0.2">
      <c r="N9" s="235"/>
      <c r="O9" s="241"/>
      <c r="P9" s="235"/>
    </row>
    <row r="10" spans="1:16" x14ac:dyDescent="0.2">
      <c r="N10" s="235"/>
      <c r="O10" s="241"/>
      <c r="P10" s="242"/>
    </row>
    <row r="17" spans="16:18" ht="24" customHeight="1" x14ac:dyDescent="0.2">
      <c r="P17" s="266"/>
      <c r="Q17" s="267"/>
      <c r="R17" s="268"/>
    </row>
    <row r="18" spans="16:18" ht="14.25" customHeight="1" x14ac:dyDescent="0.2">
      <c r="Q18" s="237"/>
      <c r="R18" s="239"/>
    </row>
    <row r="19" spans="16:18" x14ac:dyDescent="0.2">
      <c r="Q19" s="237"/>
      <c r="R19" s="239"/>
    </row>
    <row r="20" spans="16:18" x14ac:dyDescent="0.2">
      <c r="Q20" s="238"/>
      <c r="R20" s="239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topLeftCell="A4" zoomScale="93" zoomScaleNormal="93" workbookViewId="0">
      <selection activeCell="M4" sqref="M4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8" width="15.42578125" customWidth="1"/>
    <col min="9" max="9" width="15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69" t="s">
        <v>103</v>
      </c>
      <c r="C2" s="269"/>
      <c r="D2" s="269"/>
      <c r="E2" s="269"/>
      <c r="F2" s="269"/>
      <c r="G2" s="269"/>
      <c r="H2" s="269"/>
      <c r="I2" s="269"/>
      <c r="J2" s="14"/>
      <c r="K2" s="14"/>
      <c r="L2" s="14"/>
    </row>
    <row r="3" spans="2:23" ht="24.75" customHeight="1" thickBot="1" x14ac:dyDescent="0.25">
      <c r="B3" s="250" t="s">
        <v>126</v>
      </c>
      <c r="C3" s="251"/>
      <c r="D3" s="251"/>
      <c r="E3" s="251"/>
      <c r="F3" s="251"/>
      <c r="G3" s="251"/>
      <c r="H3" s="251"/>
      <c r="I3" s="252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2" t="s">
        <v>121</v>
      </c>
      <c r="E4" s="244" t="s">
        <v>122</v>
      </c>
      <c r="F4" s="229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4" customFormat="1" ht="24.75" thickBot="1" x14ac:dyDescent="0.25">
      <c r="B5" s="4" t="s">
        <v>31</v>
      </c>
      <c r="C5" s="5">
        <v>3060729352</v>
      </c>
      <c r="D5" s="227">
        <v>1366322667</v>
      </c>
      <c r="E5" s="5">
        <v>399173860</v>
      </c>
      <c r="F5" s="230">
        <f>C5+D5-E5</f>
        <v>4027878159</v>
      </c>
      <c r="G5" s="5">
        <v>3544417178</v>
      </c>
      <c r="H5" s="5">
        <v>3544417178</v>
      </c>
      <c r="I5" s="5">
        <v>3544417178</v>
      </c>
      <c r="J5" s="14"/>
      <c r="K5" s="209">
        <f>G5/F5</f>
        <v>0.87997129954893449</v>
      </c>
      <c r="L5" s="209">
        <f>H5/F5</f>
        <v>0.87997129954893449</v>
      </c>
      <c r="M5" s="209">
        <f>I5/F5</f>
        <v>0.87997129954893449</v>
      </c>
      <c r="O5" s="215"/>
      <c r="P5" s="215"/>
    </row>
    <row r="6" spans="2:23" ht="24.75" thickBot="1" x14ac:dyDescent="0.25">
      <c r="B6" s="4" t="s">
        <v>112</v>
      </c>
      <c r="C6" s="5">
        <v>1266158636</v>
      </c>
      <c r="D6" s="5">
        <v>3427007481</v>
      </c>
      <c r="E6" s="5">
        <v>0</v>
      </c>
      <c r="F6" s="230">
        <f>C6+D6-E6</f>
        <v>4693166117</v>
      </c>
      <c r="G6" s="5">
        <v>4588693161</v>
      </c>
      <c r="H6" s="5">
        <v>3674941836</v>
      </c>
      <c r="I6" s="5">
        <v>3674941836</v>
      </c>
      <c r="J6" s="14"/>
      <c r="K6" s="209">
        <f>G6/F6</f>
        <v>0.97773934410257313</v>
      </c>
      <c r="L6" s="209">
        <f>H6/F6</f>
        <v>0.78304107384741861</v>
      </c>
      <c r="M6" s="209">
        <f>I6/F6</f>
        <v>0.78304107384741861</v>
      </c>
      <c r="O6" s="45"/>
    </row>
    <row r="7" spans="2:23" ht="24.75" thickBot="1" x14ac:dyDescent="0.25">
      <c r="B7" s="4" t="s">
        <v>111</v>
      </c>
      <c r="C7" s="5">
        <v>2732020364</v>
      </c>
      <c r="D7" s="5">
        <v>51300315</v>
      </c>
      <c r="E7" s="5">
        <v>1947019770</v>
      </c>
      <c r="F7" s="230">
        <f>C7+D7-E7</f>
        <v>836300909</v>
      </c>
      <c r="G7" s="5">
        <v>192215435</v>
      </c>
      <c r="H7" s="5">
        <v>192215435</v>
      </c>
      <c r="I7" s="5">
        <v>192215435</v>
      </c>
      <c r="J7" s="14"/>
      <c r="K7" s="209">
        <f>G7/F7</f>
        <v>0.22984004074542982</v>
      </c>
      <c r="L7" s="209">
        <f>H7/F7</f>
        <v>0.22984004074542982</v>
      </c>
      <c r="M7" s="209">
        <f>I7/F7</f>
        <v>0.22984004074542982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1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09" t="e">
        <f>G8/F8</f>
        <v>#DIV/0!</v>
      </c>
      <c r="L8" s="209" t="e">
        <f>H8/F8</f>
        <v>#DIV/0!</v>
      </c>
      <c r="M8" s="209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4138232398</v>
      </c>
      <c r="D9" s="7">
        <f>'EJE DE FUNCIONAMIENTO E INVERSI'!C6</f>
        <v>6274389477</v>
      </c>
      <c r="E9" s="7">
        <v>4138232398</v>
      </c>
      <c r="F9" s="232">
        <f>'EJE DE FUNCIONAMIENTO E INVERSI'!E6</f>
        <v>6274389477</v>
      </c>
      <c r="G9" s="7">
        <f>'EJE DE FUNCIONAMIENTO E INVERSI'!F6</f>
        <v>5465821029</v>
      </c>
      <c r="H9" s="7">
        <f>'EJE DE FUNCIONAMIENTO E INVERSI'!G6</f>
        <v>3512279981</v>
      </c>
      <c r="I9" s="7">
        <f>'EJE DE FUNCIONAMIENTO E INVERSI'!H6</f>
        <v>3496019981</v>
      </c>
      <c r="J9" s="14"/>
      <c r="K9" s="209">
        <f>G9/F9</f>
        <v>0.87113193228377583</v>
      </c>
      <c r="L9" s="209">
        <f>H9/F9</f>
        <v>0.55978035693750738</v>
      </c>
      <c r="M9" s="209">
        <f>I9/F9</f>
        <v>0.55718886974029014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1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11197140750</v>
      </c>
      <c r="D11" s="9">
        <f>+SUM(D5:D10)</f>
        <v>11119019940</v>
      </c>
      <c r="E11" s="9">
        <f>E5+E6+E7+E8+E9</f>
        <v>6484426028</v>
      </c>
      <c r="F11" s="233">
        <f t="shared" ref="F11" si="4">+SUM(F5:F10)</f>
        <v>15831734662</v>
      </c>
      <c r="G11" s="9">
        <f>+SUM(G5:G10)</f>
        <v>13791146803</v>
      </c>
      <c r="H11" s="9">
        <f>+SUM(H5:H10)</f>
        <v>10923854430</v>
      </c>
      <c r="I11" s="9">
        <f>+SUM(I5:I10)</f>
        <v>10907594430</v>
      </c>
      <c r="J11" s="14"/>
      <c r="K11" s="181">
        <f>G11/F11</f>
        <v>0.87110775271531649</v>
      </c>
      <c r="L11" s="181">
        <f>H11/F11</f>
        <v>0.68999731635345674</v>
      </c>
      <c r="M11" s="181">
        <f>I11/F11</f>
        <v>0.68897026528500827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5"/>
      <c r="O13" s="270"/>
      <c r="P13" s="270"/>
      <c r="Q13" s="270"/>
      <c r="R13" s="270"/>
      <c r="S13" s="270"/>
      <c r="T13" s="270"/>
      <c r="U13" s="270"/>
      <c r="V13" s="270"/>
      <c r="W13" s="235"/>
    </row>
    <row r="14" spans="2:23" x14ac:dyDescent="0.2">
      <c r="N14" s="235"/>
      <c r="O14" s="235"/>
      <c r="P14" s="235"/>
      <c r="Q14" s="235"/>
      <c r="R14" s="235"/>
      <c r="S14" s="235"/>
      <c r="T14" s="235"/>
      <c r="U14" s="235"/>
      <c r="V14" s="235"/>
      <c r="W14" s="235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71" t="s">
        <v>19</v>
      </c>
      <c r="B2" s="272"/>
      <c r="C2" s="272"/>
      <c r="D2" s="272"/>
    </row>
    <row r="3" spans="1:4" ht="27" customHeight="1" x14ac:dyDescent="0.25">
      <c r="A3" s="272"/>
      <c r="B3" s="272"/>
      <c r="C3" s="272"/>
      <c r="D3" s="272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topLeftCell="A7" workbookViewId="0">
      <selection activeCell="D17" sqref="D17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3" t="s">
        <v>127</v>
      </c>
      <c r="B4" s="274"/>
      <c r="C4" s="274"/>
      <c r="D4" s="274"/>
      <c r="E4" s="275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335656513</v>
      </c>
      <c r="C6" s="30">
        <v>200166806</v>
      </c>
      <c r="D6" s="31">
        <f>+B6/$B$17</f>
        <v>8.3333333270438348E-2</v>
      </c>
      <c r="E6" s="177">
        <f>+C6/$B$17</f>
        <v>4.9695347797637339E-2</v>
      </c>
    </row>
    <row r="7" spans="1:5" x14ac:dyDescent="0.2">
      <c r="A7" s="22" t="s">
        <v>7</v>
      </c>
      <c r="B7" s="19">
        <f>+$B$6*2</f>
        <v>671313026</v>
      </c>
      <c r="C7" s="19">
        <v>404494551</v>
      </c>
      <c r="D7" s="20">
        <f t="shared" ref="D7:D17" si="0">+B7/$B$17</f>
        <v>0.1666666665408767</v>
      </c>
      <c r="E7" s="179">
        <f t="shared" ref="E7:E17" si="1">+C7/$B$17</f>
        <v>0.100423730566966</v>
      </c>
    </row>
    <row r="8" spans="1:5" x14ac:dyDescent="0.2">
      <c r="A8" s="22" t="s">
        <v>8</v>
      </c>
      <c r="B8" s="19">
        <f>+$B$6*3</f>
        <v>1006969539</v>
      </c>
      <c r="C8" s="19">
        <v>589103088</v>
      </c>
      <c r="D8" s="20">
        <f t="shared" si="0"/>
        <v>0.24999999981131504</v>
      </c>
      <c r="E8" s="179">
        <f t="shared" si="1"/>
        <v>0.14625643198214472</v>
      </c>
    </row>
    <row r="9" spans="1:5" x14ac:dyDescent="0.2">
      <c r="A9" s="22" t="s">
        <v>9</v>
      </c>
      <c r="B9" s="19">
        <f>+$B$6*4</f>
        <v>1342626052</v>
      </c>
      <c r="C9" s="19">
        <v>1016930910</v>
      </c>
      <c r="D9" s="20">
        <f t="shared" si="0"/>
        <v>0.33333333308175339</v>
      </c>
      <c r="E9" s="179">
        <f t="shared" si="1"/>
        <v>0.25247310614836826</v>
      </c>
    </row>
    <row r="10" spans="1:5" x14ac:dyDescent="0.2">
      <c r="A10" s="22" t="s">
        <v>10</v>
      </c>
      <c r="B10" s="19">
        <f>+$B$6*5</f>
        <v>1678282565</v>
      </c>
      <c r="C10" s="19">
        <v>1329037392</v>
      </c>
      <c r="D10" s="20">
        <f t="shared" si="0"/>
        <v>0.41666666635219174</v>
      </c>
      <c r="E10" s="179">
        <f t="shared" si="1"/>
        <v>0.32995968088487593</v>
      </c>
    </row>
    <row r="11" spans="1:5" x14ac:dyDescent="0.2">
      <c r="A11" s="22" t="s">
        <v>11</v>
      </c>
      <c r="B11" s="19">
        <f>+$B$6*6</f>
        <v>2013939078</v>
      </c>
      <c r="C11" s="19">
        <v>1670095070</v>
      </c>
      <c r="D11" s="20">
        <f t="shared" si="0"/>
        <v>0.49999999962263009</v>
      </c>
      <c r="E11" s="179">
        <f t="shared" si="1"/>
        <v>0.41463395963249511</v>
      </c>
    </row>
    <row r="12" spans="1:5" x14ac:dyDescent="0.2">
      <c r="A12" s="22" t="s">
        <v>12</v>
      </c>
      <c r="B12" s="19">
        <f>+$B$6*7</f>
        <v>2349595591</v>
      </c>
      <c r="C12" s="19">
        <v>1949293541</v>
      </c>
      <c r="D12" s="20">
        <f t="shared" si="0"/>
        <v>0.58333333289306843</v>
      </c>
      <c r="E12" s="179">
        <f t="shared" si="1"/>
        <v>0.48395047318526446</v>
      </c>
    </row>
    <row r="13" spans="1:5" x14ac:dyDescent="0.2">
      <c r="A13" s="22" t="s">
        <v>13</v>
      </c>
      <c r="B13" s="19">
        <f>+$B$6*8</f>
        <v>2685252104</v>
      </c>
      <c r="C13" s="19">
        <v>2197301452</v>
      </c>
      <c r="D13" s="20">
        <f t="shared" si="0"/>
        <v>0.66666666616350678</v>
      </c>
      <c r="E13" s="179">
        <f t="shared" si="1"/>
        <v>0.5455233165552611</v>
      </c>
    </row>
    <row r="14" spans="1:5" x14ac:dyDescent="0.2">
      <c r="A14" s="22" t="s">
        <v>14</v>
      </c>
      <c r="B14" s="19">
        <f>+$B$6*9</f>
        <v>3020908617</v>
      </c>
      <c r="C14" s="19">
        <v>2562395318</v>
      </c>
      <c r="D14" s="20">
        <f t="shared" si="0"/>
        <v>0.74999999943394513</v>
      </c>
      <c r="E14" s="179">
        <f t="shared" si="1"/>
        <v>0.63616505187702066</v>
      </c>
    </row>
    <row r="15" spans="1:5" x14ac:dyDescent="0.2">
      <c r="A15" s="22" t="s">
        <v>15</v>
      </c>
      <c r="B15" s="19">
        <f>+$B$6*10</f>
        <v>3356565130</v>
      </c>
      <c r="C15" s="19">
        <v>2859158129</v>
      </c>
      <c r="D15" s="20">
        <f t="shared" si="0"/>
        <v>0.83333333270438348</v>
      </c>
      <c r="E15" s="179">
        <f t="shared" si="1"/>
        <v>0.70984225840670623</v>
      </c>
    </row>
    <row r="16" spans="1:5" x14ac:dyDescent="0.2">
      <c r="A16" s="22" t="s">
        <v>16</v>
      </c>
      <c r="B16" s="19">
        <f>+$B$6*11</f>
        <v>3692221643</v>
      </c>
      <c r="C16" s="216">
        <v>3327198591</v>
      </c>
      <c r="D16" s="20">
        <f t="shared" si="0"/>
        <v>0.91666666597482183</v>
      </c>
      <c r="E16" s="179">
        <f t="shared" si="1"/>
        <v>0.82604251162180165</v>
      </c>
    </row>
    <row r="17" spans="1:5" ht="13.5" thickBot="1" x14ac:dyDescent="0.25">
      <c r="A17" s="24" t="s">
        <v>17</v>
      </c>
      <c r="B17" s="25">
        <f>+$B$6*12+0.04+3</f>
        <v>4027878159.04</v>
      </c>
      <c r="C17" s="25">
        <v>3544417178</v>
      </c>
      <c r="D17" s="27">
        <f t="shared" si="0"/>
        <v>1</v>
      </c>
      <c r="E17" s="188">
        <f t="shared" si="1"/>
        <v>0.87997129954019571</v>
      </c>
    </row>
    <row r="18" spans="1:5" x14ac:dyDescent="0.2">
      <c r="B18" s="197"/>
    </row>
    <row r="19" spans="1:5" x14ac:dyDescent="0.2">
      <c r="B19" s="13"/>
      <c r="C19" s="195"/>
      <c r="D19" s="195"/>
    </row>
    <row r="20" spans="1:5" x14ac:dyDescent="0.2">
      <c r="A20" s="197"/>
      <c r="B20" s="13"/>
    </row>
    <row r="21" spans="1:5" x14ac:dyDescent="0.2">
      <c r="B21" s="13"/>
      <c r="C21" s="195"/>
      <c r="D21" s="196"/>
    </row>
    <row r="22" spans="1:5" x14ac:dyDescent="0.2">
      <c r="B22" s="13"/>
      <c r="D22" s="197"/>
    </row>
    <row r="23" spans="1:5" x14ac:dyDescent="0.2">
      <c r="B23" s="13"/>
      <c r="D23" s="197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workbookViewId="0">
      <selection activeCell="C18" sqref="C18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6" t="s">
        <v>128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390986023</v>
      </c>
      <c r="C6" s="21">
        <v>29615692</v>
      </c>
      <c r="D6" s="20">
        <f>+B6/$B$17</f>
        <v>8.333333335180515E-2</v>
      </c>
      <c r="E6" s="179">
        <f>+C6/$B$17</f>
        <v>6.3121804583801937E-3</v>
      </c>
    </row>
    <row r="7" spans="1:5" x14ac:dyDescent="0.2">
      <c r="A7" s="22" t="s">
        <v>7</v>
      </c>
      <c r="B7" s="190">
        <f>+$B$6*2</f>
        <v>781972046</v>
      </c>
      <c r="C7" s="21">
        <v>102520816</v>
      </c>
      <c r="D7" s="20">
        <f t="shared" ref="D7:D17" si="0">+B7/$B$17</f>
        <v>0.1666666667036103</v>
      </c>
      <c r="E7" s="179">
        <f t="shared" ref="E7:E17" si="1">+C7/$B$17</f>
        <v>2.1850912392403037E-2</v>
      </c>
    </row>
    <row r="8" spans="1:5" x14ac:dyDescent="0.2">
      <c r="A8" s="22" t="s">
        <v>8</v>
      </c>
      <c r="B8" s="190">
        <f>+$B$6*3</f>
        <v>1172958069</v>
      </c>
      <c r="C8" s="21">
        <v>246495457</v>
      </c>
      <c r="D8" s="20">
        <f t="shared" si="0"/>
        <v>0.25000000005541545</v>
      </c>
      <c r="E8" s="179">
        <f t="shared" si="1"/>
        <v>5.2537141686741451E-2</v>
      </c>
    </row>
    <row r="9" spans="1:5" x14ac:dyDescent="0.2">
      <c r="A9" s="22" t="s">
        <v>9</v>
      </c>
      <c r="B9" s="190">
        <f>+$B$6*4</f>
        <v>1563944092</v>
      </c>
      <c r="C9" s="21">
        <v>493699659</v>
      </c>
      <c r="D9" s="20">
        <f t="shared" si="0"/>
        <v>0.3333333334072206</v>
      </c>
      <c r="E9" s="179">
        <f t="shared" si="1"/>
        <v>0.10522534269497283</v>
      </c>
    </row>
    <row r="10" spans="1:5" x14ac:dyDescent="0.2">
      <c r="A10" s="22" t="s">
        <v>10</v>
      </c>
      <c r="B10" s="190">
        <f>+$B$6*5</f>
        <v>1954930115</v>
      </c>
      <c r="C10" s="21">
        <v>739833027</v>
      </c>
      <c r="D10" s="20">
        <f t="shared" si="0"/>
        <v>0.41666666675902575</v>
      </c>
      <c r="E10" s="179">
        <f t="shared" si="1"/>
        <v>0.15768531005433425</v>
      </c>
    </row>
    <row r="11" spans="1:5" x14ac:dyDescent="0.2">
      <c r="A11" s="22" t="s">
        <v>11</v>
      </c>
      <c r="B11" s="190">
        <f>+$B$6*6</f>
        <v>2345916138</v>
      </c>
      <c r="C11" s="21">
        <v>990167344</v>
      </c>
      <c r="D11" s="20">
        <f t="shared" si="0"/>
        <v>0.5000000001108309</v>
      </c>
      <c r="E11" s="179">
        <f t="shared" si="1"/>
        <v>0.21104065234481162</v>
      </c>
    </row>
    <row r="12" spans="1:5" x14ac:dyDescent="0.2">
      <c r="A12" s="22" t="s">
        <v>12</v>
      </c>
      <c r="B12" s="190">
        <f>+$B$6*7</f>
        <v>2736902161</v>
      </c>
      <c r="C12" s="21">
        <v>1272896890</v>
      </c>
      <c r="D12" s="20">
        <f t="shared" si="0"/>
        <v>0.58333333346263605</v>
      </c>
      <c r="E12" s="179">
        <f t="shared" si="1"/>
        <v>0.27130059546104557</v>
      </c>
    </row>
    <row r="13" spans="1:5" x14ac:dyDescent="0.2">
      <c r="A13" s="22" t="s">
        <v>13</v>
      </c>
      <c r="B13" s="190">
        <f>+$B$6*8</f>
        <v>3127888184</v>
      </c>
      <c r="C13" s="21">
        <v>1427486881</v>
      </c>
      <c r="D13" s="20">
        <f t="shared" si="0"/>
        <v>0.6666666668144412</v>
      </c>
      <c r="E13" s="179">
        <f t="shared" si="1"/>
        <v>0.304249341695014</v>
      </c>
    </row>
    <row r="14" spans="1:5" x14ac:dyDescent="0.2">
      <c r="A14" s="22" t="s">
        <v>14</v>
      </c>
      <c r="B14" s="190">
        <f>+$B$6*9</f>
        <v>3518874207</v>
      </c>
      <c r="C14" s="21">
        <v>1760813824</v>
      </c>
      <c r="D14" s="20">
        <f t="shared" si="0"/>
        <v>0.75000000016624635</v>
      </c>
      <c r="E14" s="179">
        <f t="shared" si="1"/>
        <v>0.37529342926373294</v>
      </c>
    </row>
    <row r="15" spans="1:5" x14ac:dyDescent="0.2">
      <c r="A15" s="38" t="s">
        <v>15</v>
      </c>
      <c r="B15" s="190">
        <f>+$B$6*10</f>
        <v>3909860230</v>
      </c>
      <c r="C15" s="21">
        <v>1993796267</v>
      </c>
      <c r="D15" s="20">
        <f t="shared" si="0"/>
        <v>0.8333333335180515</v>
      </c>
      <c r="E15" s="179">
        <f t="shared" si="1"/>
        <v>0.42495045648600005</v>
      </c>
    </row>
    <row r="16" spans="1:5" x14ac:dyDescent="0.2">
      <c r="A16" s="38" t="s">
        <v>16</v>
      </c>
      <c r="B16" s="190">
        <f>+$B$6*11</f>
        <v>4300846253</v>
      </c>
      <c r="C16" s="21">
        <v>3502473029</v>
      </c>
      <c r="D16" s="20">
        <f t="shared" si="0"/>
        <v>0.91666666686985665</v>
      </c>
      <c r="E16" s="179">
        <f t="shared" si="1"/>
        <v>0.74650431297224074</v>
      </c>
    </row>
    <row r="17" spans="1:5" ht="13.5" thickBot="1" x14ac:dyDescent="0.25">
      <c r="A17" s="39" t="s">
        <v>17</v>
      </c>
      <c r="B17" s="218">
        <f>+$B$6*12-0.04-1</f>
        <v>4691832274.96</v>
      </c>
      <c r="C17" s="26">
        <v>3674941836</v>
      </c>
      <c r="D17" s="27">
        <f t="shared" si="0"/>
        <v>1</v>
      </c>
      <c r="E17" s="188">
        <f t="shared" si="1"/>
        <v>0.78326368476829888</v>
      </c>
    </row>
    <row r="18" spans="1:5" x14ac:dyDescent="0.2">
      <c r="B18" s="196"/>
    </row>
    <row r="19" spans="1:5" x14ac:dyDescent="0.2">
      <c r="B19" s="13"/>
      <c r="C19" s="217"/>
      <c r="D19" s="195"/>
    </row>
    <row r="20" spans="1:5" x14ac:dyDescent="0.2">
      <c r="B20" s="13"/>
      <c r="C20" s="217"/>
    </row>
    <row r="21" spans="1:5" x14ac:dyDescent="0.2">
      <c r="B21" s="13"/>
      <c r="C21" s="195"/>
      <c r="D21" s="196"/>
    </row>
    <row r="22" spans="1:5" x14ac:dyDescent="0.2">
      <c r="B22" s="13"/>
      <c r="D22" s="196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6" t="s">
        <v>33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6" t="s">
        <v>34</v>
      </c>
      <c r="B5" s="277"/>
      <c r="C5" s="277"/>
      <c r="D5" s="277"/>
      <c r="E5" s="278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Lynne Anne Davis Sjogreen</cp:lastModifiedBy>
  <cp:lastPrinted>2023-10-25T13:25:18Z</cp:lastPrinted>
  <dcterms:created xsi:type="dcterms:W3CDTF">2015-09-23T21:56:21Z</dcterms:created>
  <dcterms:modified xsi:type="dcterms:W3CDTF">2025-04-08T19:03:43Z</dcterms:modified>
</cp:coreProperties>
</file>